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70" yWindow="240" windowWidth="18045" windowHeight="11280"/>
  </bookViews>
  <sheets>
    <sheet name="PSP 2023" sheetId="1" r:id="rId1"/>
    <sheet name="Case 1 CF comparisons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/>
  <c r="E19" s="1"/>
  <c r="F19" s="1"/>
  <c r="C18"/>
  <c r="E18" s="1"/>
  <c r="F18" s="1"/>
  <c r="C17"/>
  <c r="E17" s="1"/>
  <c r="F17" s="1"/>
  <c r="C16"/>
  <c r="E16" s="1"/>
  <c r="F16" s="1"/>
  <c r="C15"/>
  <c r="E15" s="1"/>
  <c r="F15" s="1"/>
  <c r="G10"/>
  <c r="E10"/>
  <c r="E9"/>
  <c r="G9" s="1"/>
  <c r="G8"/>
  <c r="E8"/>
  <c r="R62" i="1"/>
  <c r="P61"/>
  <c r="R40"/>
  <c r="R19"/>
  <c r="N56"/>
  <c r="N55"/>
  <c r="N52"/>
  <c r="P51"/>
  <c r="P55" s="1"/>
  <c r="O51"/>
  <c r="O55" s="1"/>
  <c r="N51"/>
  <c r="P49"/>
  <c r="P62" s="1"/>
  <c r="P46"/>
  <c r="Q46" s="1"/>
  <c r="O46"/>
  <c r="N45"/>
  <c r="N34"/>
  <c r="N33"/>
  <c r="N30"/>
  <c r="P29"/>
  <c r="O29"/>
  <c r="N29"/>
  <c r="P27"/>
  <c r="P24"/>
  <c r="Q24" s="1"/>
  <c r="O24"/>
  <c r="N23"/>
  <c r="P6"/>
  <c r="P18" s="1"/>
  <c r="N13"/>
  <c r="N12"/>
  <c r="N9"/>
  <c r="P8"/>
  <c r="O8"/>
  <c r="N8"/>
  <c r="P3"/>
  <c r="Q3" s="1"/>
  <c r="O3"/>
  <c r="N2"/>
  <c r="D53"/>
  <c r="D31"/>
  <c r="D10"/>
  <c r="C53"/>
  <c r="C31"/>
  <c r="C10"/>
  <c r="D52"/>
  <c r="C52"/>
  <c r="D9"/>
  <c r="C9"/>
  <c r="D30"/>
  <c r="C30"/>
  <c r="D59"/>
  <c r="P58" s="1"/>
  <c r="R61" s="1"/>
  <c r="I49"/>
  <c r="G49"/>
  <c r="F49"/>
  <c r="I51" s="1"/>
  <c r="Q52" s="1"/>
  <c r="Q56" s="1"/>
  <c r="D37"/>
  <c r="P36" s="1"/>
  <c r="I27"/>
  <c r="G27"/>
  <c r="F27"/>
  <c r="D16"/>
  <c r="P15" s="1"/>
  <c r="R18" s="1"/>
  <c r="I6"/>
  <c r="G6"/>
  <c r="F6"/>
  <c r="I8" s="1"/>
  <c r="D15" i="2" l="1"/>
  <c r="D16"/>
  <c r="D17"/>
  <c r="D18"/>
  <c r="D19"/>
  <c r="R39" i="1"/>
  <c r="P37"/>
  <c r="C13"/>
  <c r="O9" s="1"/>
  <c r="O13" s="1"/>
  <c r="D13"/>
  <c r="P9" s="1"/>
  <c r="Q9"/>
  <c r="P33"/>
  <c r="P40"/>
  <c r="O33"/>
  <c r="P16"/>
  <c r="O12"/>
  <c r="P13"/>
  <c r="P19"/>
  <c r="Q13"/>
  <c r="P12"/>
  <c r="P39"/>
  <c r="P59"/>
  <c r="D56"/>
  <c r="P52" s="1"/>
  <c r="P56" s="1"/>
  <c r="C56"/>
  <c r="O52" s="1"/>
  <c r="O56" s="1"/>
  <c r="I29"/>
  <c r="C34" l="1"/>
  <c r="O30" s="1"/>
  <c r="O34" s="1"/>
  <c r="Q30"/>
  <c r="Q34" s="1"/>
  <c r="D34"/>
  <c r="P30" s="1"/>
  <c r="P34" s="1"/>
</calcChain>
</file>

<file path=xl/sharedStrings.xml><?xml version="1.0" encoding="utf-8"?>
<sst xmlns="http://schemas.openxmlformats.org/spreadsheetml/2006/main" count="127" uniqueCount="49">
  <si>
    <t xml:space="preserve">Pre - </t>
  </si>
  <si>
    <t xml:space="preserve">Post - </t>
  </si>
  <si>
    <t>2001 Escort</t>
  </si>
  <si>
    <t>2005 Sable</t>
  </si>
  <si>
    <t>Weight (lbs)</t>
  </si>
  <si>
    <t>Speed (mph)</t>
  </si>
  <si>
    <t>W1 * V1</t>
  </si>
  <si>
    <t>W2 * V2</t>
  </si>
  <si>
    <t>(W1+W2)</t>
  </si>
  <si>
    <t>* V3</t>
  </si>
  <si>
    <t>V3 =</t>
  </si>
  <si>
    <t>(W1 * V1) / (W1 + W2)</t>
  </si>
  <si>
    <t>Delta-v Meas</t>
  </si>
  <si>
    <t>Delta-v Calc</t>
  </si>
  <si>
    <t xml:space="preserve">KEES = </t>
  </si>
  <si>
    <t>SQR ( Wt bar * Spd Bar ^2) / (wt bar + Wt Targ)</t>
  </si>
  <si>
    <t>KEES Targ =</t>
  </si>
  <si>
    <t>93 Park Avenue</t>
  </si>
  <si>
    <t>2000 Cavalier</t>
  </si>
  <si>
    <t>2004 ION</t>
  </si>
  <si>
    <t>PSP 2023 - CT1</t>
  </si>
  <si>
    <t>PSP 2023 - CT2</t>
  </si>
  <si>
    <t>PSP 2023 - CT3</t>
  </si>
  <si>
    <t>=</t>
  </si>
  <si>
    <t>Max Crush</t>
  </si>
  <si>
    <t>inches</t>
  </si>
  <si>
    <t>feet</t>
  </si>
  <si>
    <t>KEES Target =</t>
  </si>
  <si>
    <t>Test Specific CF based on Delta-v</t>
  </si>
  <si>
    <t>Closing - PIS</t>
  </si>
  <si>
    <t>CF = 21</t>
  </si>
  <si>
    <t>CF = 27</t>
  </si>
  <si>
    <t>Compare to</t>
  </si>
  <si>
    <t>KEES mph</t>
  </si>
  <si>
    <t>Closing mph</t>
  </si>
  <si>
    <r>
      <t>Test Specific</t>
    </r>
    <r>
      <rPr>
        <b/>
        <sz val="14"/>
        <color theme="1"/>
        <rFont val="Calibri"/>
        <family val="2"/>
        <scheme val="minor"/>
      </rPr>
      <t xml:space="preserve"> CF</t>
    </r>
    <r>
      <rPr>
        <sz val="14"/>
        <color theme="1"/>
        <rFont val="Calibri"/>
        <family val="2"/>
        <scheme val="minor"/>
      </rPr>
      <t xml:space="preserve"> based on KEES</t>
    </r>
  </si>
  <si>
    <r>
      <t xml:space="preserve">Test Specific </t>
    </r>
    <r>
      <rPr>
        <b/>
        <sz val="11"/>
        <color theme="1"/>
        <rFont val="Calibri"/>
        <family val="2"/>
        <scheme val="minor"/>
      </rPr>
      <t>CF</t>
    </r>
    <r>
      <rPr>
        <sz val="11"/>
        <color theme="1"/>
        <rFont val="Calibri"/>
        <family val="2"/>
        <scheme val="minor"/>
      </rPr>
      <t xml:space="preserve"> based on Delta-v</t>
    </r>
  </si>
  <si>
    <t xml:space="preserve">Crush = </t>
  </si>
  <si>
    <t>Ft</t>
  </si>
  <si>
    <t>KEES MPH</t>
  </si>
  <si>
    <t>if CF=21</t>
  </si>
  <si>
    <t>Closing Speed</t>
  </si>
  <si>
    <t>MPH</t>
  </si>
  <si>
    <t>Wt I30</t>
  </si>
  <si>
    <t>Wt FRR</t>
  </si>
  <si>
    <t>KPH</t>
  </si>
  <si>
    <t>CF</t>
  </si>
  <si>
    <t>KEES Speed</t>
  </si>
  <si>
    <t>Closing speed</t>
  </si>
</sst>
</file>

<file path=xl/styles.xml><?xml version="1.0" encoding="utf-8"?>
<styleSheet xmlns="http://schemas.openxmlformats.org/spreadsheetml/2006/main">
  <numFmts count="2">
    <numFmt numFmtId="164" formatCode="0.0000000000000"/>
    <numFmt numFmtId="165" formatCode="0.0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left"/>
    </xf>
    <xf numFmtId="165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@%20*%20V2" TargetMode="External"/><Relationship Id="rId2" Type="http://schemas.openxmlformats.org/officeDocument/2006/relationships/hyperlink" Target="mailto:W@%20*%20V2" TargetMode="External"/><Relationship Id="rId1" Type="http://schemas.openxmlformats.org/officeDocument/2006/relationships/hyperlink" Target="mailto:W@%20*%20V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S62"/>
  <sheetViews>
    <sheetView tabSelected="1" topLeftCell="C1" workbookViewId="0">
      <selection activeCell="B2" sqref="B2"/>
    </sheetView>
  </sheetViews>
  <sheetFormatPr defaultRowHeight="15"/>
  <cols>
    <col min="2" max="2" width="13.5703125" bestFit="1" customWidth="1"/>
    <col min="3" max="3" width="12.5703125" bestFit="1" customWidth="1"/>
    <col min="4" max="4" width="14.7109375" style="2" bestFit="1" customWidth="1"/>
    <col min="5" max="6" width="13.42578125" bestFit="1" customWidth="1"/>
    <col min="9" max="9" width="16.7109375" bestFit="1" customWidth="1"/>
    <col min="14" max="14" width="13.5703125" style="9" bestFit="1" customWidth="1"/>
    <col min="15" max="15" width="12.5703125" style="2" bestFit="1" customWidth="1"/>
    <col min="16" max="17" width="14.7109375" style="2" bestFit="1" customWidth="1"/>
    <col min="18" max="18" width="11.28515625" style="2" bestFit="1" customWidth="1"/>
    <col min="19" max="19" width="15.140625" bestFit="1" customWidth="1"/>
  </cols>
  <sheetData>
    <row r="2" spans="2:17" ht="18.75">
      <c r="B2" s="17" t="s">
        <v>20</v>
      </c>
      <c r="N2" s="15" t="str">
        <f>B2</f>
        <v>PSP 2023 - CT1</v>
      </c>
    </row>
    <row r="3" spans="2:17">
      <c r="C3" s="2" t="s">
        <v>2</v>
      </c>
      <c r="D3" s="2" t="s">
        <v>3</v>
      </c>
      <c r="O3" s="2" t="str">
        <f t="shared" ref="O3" si="0">C3</f>
        <v>2001 Escort</v>
      </c>
      <c r="P3" s="2" t="str">
        <f>D3</f>
        <v>2005 Sable</v>
      </c>
      <c r="Q3" s="2" t="str">
        <f xml:space="preserve"> P3</f>
        <v>2005 Sable</v>
      </c>
    </row>
    <row r="4" spans="2:17">
      <c r="B4" t="s">
        <v>0</v>
      </c>
      <c r="C4" s="2"/>
      <c r="N4" s="9" t="s">
        <v>24</v>
      </c>
    </row>
    <row r="5" spans="2:17">
      <c r="B5" t="s">
        <v>4</v>
      </c>
      <c r="C5" s="2">
        <v>2506</v>
      </c>
      <c r="D5" s="2">
        <v>3228</v>
      </c>
      <c r="F5" s="2" t="s">
        <v>6</v>
      </c>
      <c r="G5" s="6" t="s">
        <v>7</v>
      </c>
      <c r="H5" s="5" t="s">
        <v>23</v>
      </c>
      <c r="I5" t="s">
        <v>8</v>
      </c>
      <c r="J5" t="s">
        <v>9</v>
      </c>
      <c r="N5" s="9" t="s">
        <v>25</v>
      </c>
      <c r="P5" s="2">
        <v>27</v>
      </c>
    </row>
    <row r="6" spans="2:17">
      <c r="B6" t="s">
        <v>5</v>
      </c>
      <c r="C6" s="2">
        <v>53</v>
      </c>
      <c r="D6" s="2">
        <v>0</v>
      </c>
      <c r="F6" s="2">
        <f>(C5*C6)</f>
        <v>132818</v>
      </c>
      <c r="G6" s="2">
        <f>(D5*D6)</f>
        <v>0</v>
      </c>
      <c r="H6" s="2"/>
      <c r="I6">
        <f>C5+D5</f>
        <v>5734</v>
      </c>
      <c r="J6" t="s">
        <v>9</v>
      </c>
      <c r="N6" s="9" t="s">
        <v>26</v>
      </c>
      <c r="P6" s="3">
        <f>P5/12</f>
        <v>2.25</v>
      </c>
    </row>
    <row r="7" spans="2:17">
      <c r="C7" s="2"/>
      <c r="F7" s="2"/>
      <c r="G7" s="2"/>
      <c r="H7" s="2" t="s">
        <v>10</v>
      </c>
      <c r="I7" t="s">
        <v>11</v>
      </c>
      <c r="Q7" s="2" t="s">
        <v>29</v>
      </c>
    </row>
    <row r="8" spans="2:17">
      <c r="B8" t="s">
        <v>1</v>
      </c>
      <c r="C8" s="2"/>
      <c r="F8" s="2"/>
      <c r="G8" s="2"/>
      <c r="H8" s="2" t="s">
        <v>10</v>
      </c>
      <c r="I8" s="8">
        <f>F6/I6</f>
        <v>23.163236832926405</v>
      </c>
      <c r="N8" s="9" t="str">
        <f t="shared" ref="N8:P9" si="1">B12</f>
        <v>Delta-v Meas</v>
      </c>
      <c r="O8" s="3">
        <f t="shared" si="1"/>
        <v>34.299999999999997</v>
      </c>
      <c r="P8" s="3">
        <f t="shared" si="1"/>
        <v>26.7</v>
      </c>
    </row>
    <row r="9" spans="2:17">
      <c r="B9" t="s">
        <v>4</v>
      </c>
      <c r="C9" s="2">
        <f>C5</f>
        <v>2506</v>
      </c>
      <c r="D9" s="2">
        <f>D5</f>
        <v>3228</v>
      </c>
      <c r="N9" s="9" t="str">
        <f t="shared" si="1"/>
        <v>Delta-v Calc</v>
      </c>
      <c r="O9" s="3">
        <f t="shared" si="1"/>
        <v>29.836763167073595</v>
      </c>
      <c r="P9" s="3">
        <f t="shared" si="1"/>
        <v>23.163236832926405</v>
      </c>
      <c r="Q9" s="3">
        <f>C6-I8</f>
        <v>29.836763167073595</v>
      </c>
    </row>
    <row r="10" spans="2:17">
      <c r="B10" t="s">
        <v>5</v>
      </c>
      <c r="C10" s="2">
        <f>C6-C12</f>
        <v>18.700000000000003</v>
      </c>
      <c r="D10" s="2">
        <f>D12</f>
        <v>26.7</v>
      </c>
    </row>
    <row r="11" spans="2:17" ht="15.75" thickBot="1">
      <c r="C11" s="2"/>
      <c r="L11" t="s">
        <v>28</v>
      </c>
      <c r="Q11" s="2" t="s">
        <v>29</v>
      </c>
    </row>
    <row r="12" spans="2:17">
      <c r="B12" t="s">
        <v>12</v>
      </c>
      <c r="C12" s="2">
        <v>34.299999999999997</v>
      </c>
      <c r="D12" s="2">
        <v>26.7</v>
      </c>
      <c r="N12" s="18" t="str">
        <f xml:space="preserve"> B12</f>
        <v>Delta-v Meas</v>
      </c>
      <c r="O12" s="19">
        <f xml:space="preserve"> O8^2 / (30*P6)</f>
        <v>17.429481481481478</v>
      </c>
      <c r="P12" s="19">
        <f xml:space="preserve"> P8^2 / (30*P6)</f>
        <v>10.561333333333334</v>
      </c>
      <c r="Q12" s="20"/>
    </row>
    <row r="13" spans="2:17" ht="15.75" thickBot="1">
      <c r="B13" t="s">
        <v>13</v>
      </c>
      <c r="C13" s="3">
        <f>C6-I8</f>
        <v>29.836763167073595</v>
      </c>
      <c r="D13" s="3">
        <f>I8</f>
        <v>23.163236832926405</v>
      </c>
      <c r="N13" s="21" t="str">
        <f xml:space="preserve"> B13</f>
        <v>Delta-v Calc</v>
      </c>
      <c r="O13" s="22">
        <f xml:space="preserve"> O9^2 / (30*P6)</f>
        <v>13.188628685748736</v>
      </c>
      <c r="P13" s="22">
        <f xml:space="preserve"> P9^2 / (30*P6)</f>
        <v>7.9486746752331632</v>
      </c>
      <c r="Q13" s="23">
        <f xml:space="preserve"> Q9^2 / (30*P6)</f>
        <v>13.188628685748736</v>
      </c>
    </row>
    <row r="15" spans="2:17" ht="15.75" thickBot="1">
      <c r="B15" t="s">
        <v>14</v>
      </c>
      <c r="C15" t="s">
        <v>15</v>
      </c>
      <c r="N15" s="9" t="s">
        <v>27</v>
      </c>
      <c r="P15" s="3">
        <f xml:space="preserve"> D16</f>
        <v>35.037858840761082</v>
      </c>
    </row>
    <row r="16" spans="2:17" ht="19.5" thickBot="1">
      <c r="B16" t="s">
        <v>16</v>
      </c>
      <c r="D16" s="4">
        <f>((C5*C6*C6) / (C5 + D5))^0.5</f>
        <v>35.037858840761082</v>
      </c>
      <c r="I16" s="1"/>
      <c r="L16" s="11" t="s">
        <v>35</v>
      </c>
      <c r="P16" s="24">
        <f xml:space="preserve"> P15^2 / (30 * P6)</f>
        <v>18.187430402149623</v>
      </c>
    </row>
    <row r="17" spans="2:19" ht="18.75">
      <c r="D17" s="4"/>
      <c r="I17" s="1"/>
      <c r="P17" s="10"/>
      <c r="R17" s="2" t="s">
        <v>32</v>
      </c>
    </row>
    <row r="18" spans="2:19" ht="18.75">
      <c r="N18" s="15" t="s">
        <v>30</v>
      </c>
      <c r="O18" s="16"/>
      <c r="P18" s="14">
        <f xml:space="preserve"> (30*21*P6)^0.5</f>
        <v>37.649701194033398</v>
      </c>
      <c r="Q18" s="16"/>
      <c r="R18" s="4">
        <f>P15</f>
        <v>35.037858840761082</v>
      </c>
      <c r="S18" s="17" t="s">
        <v>33</v>
      </c>
    </row>
    <row r="19" spans="2:19" ht="18.75">
      <c r="N19" s="15" t="s">
        <v>31</v>
      </c>
      <c r="O19" s="16"/>
      <c r="P19" s="14">
        <f>(30*27*P6)^0.5</f>
        <v>42.690748412273123</v>
      </c>
      <c r="Q19" s="16"/>
      <c r="R19" s="16">
        <f>C6</f>
        <v>53</v>
      </c>
      <c r="S19" s="17" t="s">
        <v>34</v>
      </c>
    </row>
    <row r="23" spans="2:19" ht="18.75">
      <c r="B23" s="17" t="s">
        <v>21</v>
      </c>
      <c r="N23" s="15" t="str">
        <f>B23</f>
        <v>PSP 2023 - CT2</v>
      </c>
    </row>
    <row r="24" spans="2:19">
      <c r="C24" s="2" t="s">
        <v>2</v>
      </c>
      <c r="D24" s="2" t="s">
        <v>17</v>
      </c>
      <c r="O24" s="2" t="str">
        <f t="shared" ref="O24" si="2">C24</f>
        <v>2001 Escort</v>
      </c>
      <c r="P24" s="2" t="str">
        <f t="shared" ref="P24" si="3">D24</f>
        <v>93 Park Avenue</v>
      </c>
      <c r="Q24" s="2" t="str">
        <f xml:space="preserve"> P24</f>
        <v>93 Park Avenue</v>
      </c>
    </row>
    <row r="25" spans="2:19">
      <c r="B25" t="s">
        <v>0</v>
      </c>
      <c r="C25" s="2"/>
      <c r="N25" s="9" t="s">
        <v>24</v>
      </c>
    </row>
    <row r="26" spans="2:19">
      <c r="B26" t="s">
        <v>4</v>
      </c>
      <c r="C26" s="2">
        <v>2568</v>
      </c>
      <c r="D26" s="2">
        <v>3491</v>
      </c>
      <c r="F26" s="2" t="s">
        <v>6</v>
      </c>
      <c r="G26" s="6" t="s">
        <v>7</v>
      </c>
      <c r="H26" s="5" t="s">
        <v>23</v>
      </c>
      <c r="I26" t="s">
        <v>8</v>
      </c>
      <c r="J26" t="s">
        <v>9</v>
      </c>
      <c r="N26" s="9" t="s">
        <v>25</v>
      </c>
      <c r="P26" s="2">
        <v>33</v>
      </c>
    </row>
    <row r="27" spans="2:19">
      <c r="B27" t="s">
        <v>5</v>
      </c>
      <c r="C27" s="2">
        <v>57</v>
      </c>
      <c r="D27" s="2">
        <v>0</v>
      </c>
      <c r="F27" s="2">
        <f>(C26*C27)</f>
        <v>146376</v>
      </c>
      <c r="G27" s="2">
        <f>(D26*D27)</f>
        <v>0</v>
      </c>
      <c r="H27" s="2"/>
      <c r="I27">
        <f>C26+D26</f>
        <v>6059</v>
      </c>
      <c r="J27" t="s">
        <v>9</v>
      </c>
      <c r="N27" s="9" t="s">
        <v>26</v>
      </c>
      <c r="P27" s="3">
        <f>P26/12</f>
        <v>2.75</v>
      </c>
    </row>
    <row r="28" spans="2:19">
      <c r="C28" s="2"/>
      <c r="F28" s="2"/>
      <c r="G28" s="2"/>
      <c r="H28" s="2" t="s">
        <v>10</v>
      </c>
      <c r="I28" t="s">
        <v>11</v>
      </c>
      <c r="Q28" s="2" t="s">
        <v>29</v>
      </c>
    </row>
    <row r="29" spans="2:19">
      <c r="B29" t="s">
        <v>1</v>
      </c>
      <c r="C29" s="2"/>
      <c r="F29" s="2"/>
      <c r="G29" s="2"/>
      <c r="H29" s="2" t="s">
        <v>10</v>
      </c>
      <c r="I29" s="8">
        <f>F27/I27</f>
        <v>24.15844198712659</v>
      </c>
      <c r="N29" s="9" t="str">
        <f t="shared" ref="N29:P30" si="4">B33</f>
        <v>Delta-v Meas</v>
      </c>
      <c r="O29" s="3">
        <f t="shared" si="4"/>
        <v>33.799999999999997</v>
      </c>
      <c r="P29" s="3">
        <f t="shared" si="4"/>
        <v>25.6</v>
      </c>
    </row>
    <row r="30" spans="2:19">
      <c r="B30" t="s">
        <v>4</v>
      </c>
      <c r="C30" s="2">
        <f>C26</f>
        <v>2568</v>
      </c>
      <c r="D30" s="2">
        <f>D26</f>
        <v>3491</v>
      </c>
      <c r="N30" s="9" t="str">
        <f t="shared" si="4"/>
        <v>Delta-v Calc</v>
      </c>
      <c r="O30" s="3">
        <f t="shared" si="4"/>
        <v>32.841558012873406</v>
      </c>
      <c r="P30" s="3">
        <f t="shared" si="4"/>
        <v>24.15844198712659</v>
      </c>
      <c r="Q30" s="3">
        <f>C27-I29</f>
        <v>32.841558012873406</v>
      </c>
    </row>
    <row r="31" spans="2:19">
      <c r="B31" t="s">
        <v>5</v>
      </c>
      <c r="C31" s="2">
        <f>C27-C33</f>
        <v>23.200000000000003</v>
      </c>
      <c r="D31" s="2">
        <f>D33</f>
        <v>25.6</v>
      </c>
    </row>
    <row r="32" spans="2:19" ht="15.75" thickBot="1">
      <c r="C32" s="2"/>
      <c r="L32" t="s">
        <v>28</v>
      </c>
      <c r="Q32" s="2" t="s">
        <v>29</v>
      </c>
    </row>
    <row r="33" spans="2:19">
      <c r="B33" t="s">
        <v>12</v>
      </c>
      <c r="C33" s="2">
        <v>33.799999999999997</v>
      </c>
      <c r="D33" s="2">
        <v>25.6</v>
      </c>
      <c r="N33" s="18" t="str">
        <f xml:space="preserve"> B33</f>
        <v>Delta-v Meas</v>
      </c>
      <c r="O33" s="19">
        <f xml:space="preserve"> O29^2 / (30*P27)</f>
        <v>13.847757575757573</v>
      </c>
      <c r="P33" s="19">
        <f xml:space="preserve"> P29^2 / (30*P27)</f>
        <v>7.9437575757575773</v>
      </c>
      <c r="Q33" s="20"/>
    </row>
    <row r="34" spans="2:19" ht="15.75" thickBot="1">
      <c r="B34" t="s">
        <v>13</v>
      </c>
      <c r="C34" s="3">
        <f>C27-I29</f>
        <v>32.841558012873406</v>
      </c>
      <c r="D34" s="3">
        <f>I29</f>
        <v>24.15844198712659</v>
      </c>
      <c r="N34" s="21" t="str">
        <f xml:space="preserve"> B34</f>
        <v>Delta-v Calc</v>
      </c>
      <c r="O34" s="22">
        <f xml:space="preserve"> O30^2 / (30*P27)</f>
        <v>13.07355069955066</v>
      </c>
      <c r="P34" s="22">
        <f xml:space="preserve"> P30^2 / (30*P27)</f>
        <v>7.0743068999437693</v>
      </c>
      <c r="Q34" s="23">
        <f xml:space="preserve"> Q30^2 / (30*P27)</f>
        <v>13.07355069955066</v>
      </c>
    </row>
    <row r="36" spans="2:19" ht="15.75" thickBot="1">
      <c r="B36" t="s">
        <v>14</v>
      </c>
      <c r="C36" t="s">
        <v>15</v>
      </c>
      <c r="N36" s="9" t="s">
        <v>27</v>
      </c>
      <c r="P36" s="3">
        <f xml:space="preserve"> D37</f>
        <v>37.108370932529702</v>
      </c>
    </row>
    <row r="37" spans="2:19" ht="19.5" thickBot="1">
      <c r="B37" t="s">
        <v>16</v>
      </c>
      <c r="D37" s="4">
        <f>((C26*C27*C27) / (C26 + D26))^0.5</f>
        <v>37.108370932529702</v>
      </c>
      <c r="I37" s="1"/>
      <c r="L37" s="11" t="s">
        <v>35</v>
      </c>
      <c r="P37" s="24">
        <f xml:space="preserve"> P36^2 / (30 * P27)</f>
        <v>16.691287191105641</v>
      </c>
    </row>
    <row r="38" spans="2:19">
      <c r="P38" s="10"/>
      <c r="R38" s="2" t="s">
        <v>32</v>
      </c>
    </row>
    <row r="39" spans="2:19" ht="18.75">
      <c r="N39" s="15" t="s">
        <v>30</v>
      </c>
      <c r="O39" s="16"/>
      <c r="P39" s="14">
        <f xml:space="preserve"> (30*21*P27)^0.5</f>
        <v>41.623310776534822</v>
      </c>
      <c r="Q39" s="16"/>
      <c r="R39" s="4">
        <f>P36</f>
        <v>37.108370932529702</v>
      </c>
      <c r="S39" s="17" t="s">
        <v>33</v>
      </c>
    </row>
    <row r="40" spans="2:19" ht="18.75">
      <c r="N40" s="15" t="s">
        <v>31</v>
      </c>
      <c r="O40" s="16"/>
      <c r="P40" s="14">
        <f>(30*27*P27)^0.5</f>
        <v>47.196398167656817</v>
      </c>
      <c r="Q40" s="16"/>
      <c r="R40" s="16">
        <f>C27</f>
        <v>57</v>
      </c>
      <c r="S40" s="17" t="s">
        <v>34</v>
      </c>
    </row>
    <row r="45" spans="2:19" ht="18.75">
      <c r="B45" s="17" t="s">
        <v>22</v>
      </c>
      <c r="N45" s="15" t="str">
        <f>B45</f>
        <v>PSP 2023 - CT3</v>
      </c>
    </row>
    <row r="46" spans="2:19">
      <c r="C46" s="2" t="s">
        <v>18</v>
      </c>
      <c r="D46" s="2" t="s">
        <v>19</v>
      </c>
      <c r="O46" s="2" t="str">
        <f t="shared" ref="O46" si="5">C46</f>
        <v>2000 Cavalier</v>
      </c>
      <c r="P46" s="2" t="str">
        <f t="shared" ref="P46" si="6">D46</f>
        <v>2004 ION</v>
      </c>
      <c r="Q46" s="2" t="str">
        <f xml:space="preserve"> P46</f>
        <v>2004 ION</v>
      </c>
    </row>
    <row r="47" spans="2:19">
      <c r="B47" t="s">
        <v>0</v>
      </c>
      <c r="C47" s="2"/>
      <c r="N47" s="9" t="s">
        <v>24</v>
      </c>
    </row>
    <row r="48" spans="2:19">
      <c r="B48" t="s">
        <v>4</v>
      </c>
      <c r="C48" s="2">
        <v>2597</v>
      </c>
      <c r="D48" s="2">
        <v>2786</v>
      </c>
      <c r="F48" s="2" t="s">
        <v>6</v>
      </c>
      <c r="G48" s="6" t="s">
        <v>7</v>
      </c>
      <c r="H48" s="5" t="s">
        <v>23</v>
      </c>
      <c r="I48" t="s">
        <v>8</v>
      </c>
      <c r="J48" t="s">
        <v>9</v>
      </c>
      <c r="N48" s="9" t="s">
        <v>25</v>
      </c>
      <c r="P48" s="2">
        <v>33.700000000000003</v>
      </c>
    </row>
    <row r="49" spans="2:19">
      <c r="B49" t="s">
        <v>5</v>
      </c>
      <c r="C49" s="2">
        <v>66</v>
      </c>
      <c r="D49" s="2">
        <v>0</v>
      </c>
      <c r="F49" s="2">
        <f>(C48*C49)</f>
        <v>171402</v>
      </c>
      <c r="G49" s="2">
        <f>(D48*D49)</f>
        <v>0</v>
      </c>
      <c r="H49" s="2"/>
      <c r="I49">
        <f>C48+D48</f>
        <v>5383</v>
      </c>
      <c r="J49" t="s">
        <v>9</v>
      </c>
      <c r="N49" s="9" t="s">
        <v>26</v>
      </c>
      <c r="P49" s="3">
        <f>P48/12</f>
        <v>2.8083333333333336</v>
      </c>
    </row>
    <row r="50" spans="2:19">
      <c r="C50" s="2"/>
      <c r="F50" s="2"/>
      <c r="G50" s="2"/>
      <c r="H50" s="2" t="s">
        <v>10</v>
      </c>
      <c r="I50" t="s">
        <v>11</v>
      </c>
      <c r="Q50" s="2" t="s">
        <v>29</v>
      </c>
    </row>
    <row r="51" spans="2:19">
      <c r="B51" t="s">
        <v>1</v>
      </c>
      <c r="C51" s="2"/>
      <c r="F51" s="2"/>
      <c r="G51" s="2"/>
      <c r="H51" s="2" t="s">
        <v>10</v>
      </c>
      <c r="I51" s="7">
        <f>F49/I49</f>
        <v>31.841352405721718</v>
      </c>
      <c r="N51" s="9" t="str">
        <f t="shared" ref="N51:P52" si="7">B55</f>
        <v>Delta-v Meas</v>
      </c>
      <c r="O51" s="3">
        <f t="shared" si="7"/>
        <v>33.799999999999997</v>
      </c>
      <c r="P51" s="3">
        <f t="shared" si="7"/>
        <v>31.3</v>
      </c>
    </row>
    <row r="52" spans="2:19">
      <c r="B52" t="s">
        <v>4</v>
      </c>
      <c r="C52" s="2">
        <f>C48</f>
        <v>2597</v>
      </c>
      <c r="D52" s="2">
        <f>D48</f>
        <v>2786</v>
      </c>
      <c r="N52" s="9" t="str">
        <f t="shared" si="7"/>
        <v>Delta-v Calc</v>
      </c>
      <c r="O52" s="3">
        <f t="shared" si="7"/>
        <v>34.158647594278278</v>
      </c>
      <c r="P52" s="3">
        <f t="shared" si="7"/>
        <v>31.841352405721718</v>
      </c>
      <c r="Q52" s="3">
        <f>C49-I51</f>
        <v>34.158647594278278</v>
      </c>
    </row>
    <row r="53" spans="2:19">
      <c r="B53" t="s">
        <v>5</v>
      </c>
      <c r="C53" s="2">
        <f>C49-C55</f>
        <v>32.200000000000003</v>
      </c>
      <c r="D53" s="2">
        <f>D55</f>
        <v>31.3</v>
      </c>
    </row>
    <row r="54" spans="2:19" ht="15.75" thickBot="1">
      <c r="C54" s="2"/>
      <c r="L54" t="s">
        <v>36</v>
      </c>
      <c r="Q54" s="2" t="s">
        <v>29</v>
      </c>
    </row>
    <row r="55" spans="2:19">
      <c r="B55" t="s">
        <v>12</v>
      </c>
      <c r="C55" s="2">
        <v>33.799999999999997</v>
      </c>
      <c r="D55" s="2">
        <v>31.3</v>
      </c>
      <c r="N55" s="18" t="str">
        <f xml:space="preserve"> B55</f>
        <v>Delta-v Meas</v>
      </c>
      <c r="O55" s="19">
        <f xml:space="preserve"> O51^2 / (30*P49)</f>
        <v>13.560118694362016</v>
      </c>
      <c r="P55" s="19">
        <f xml:space="preserve"> P51^2 / (30*P49)</f>
        <v>11.628367952522256</v>
      </c>
      <c r="Q55" s="20"/>
    </row>
    <row r="56" spans="2:19" ht="15.75" thickBot="1">
      <c r="B56" t="s">
        <v>13</v>
      </c>
      <c r="C56" s="3">
        <f>C49-I51</f>
        <v>34.158647594278278</v>
      </c>
      <c r="D56" s="3">
        <f>I51</f>
        <v>31.841352405721718</v>
      </c>
      <c r="N56" s="21" t="str">
        <f xml:space="preserve"> B56</f>
        <v>Delta-v Calc</v>
      </c>
      <c r="O56" s="22">
        <f xml:space="preserve"> O52^2 / (30*P49)</f>
        <v>13.849414901722174</v>
      </c>
      <c r="P56" s="22">
        <f xml:space="preserve"> P52^2 / (30*P49)</f>
        <v>12.034085733238697</v>
      </c>
      <c r="Q56" s="23">
        <f xml:space="preserve"> Q52^2 / (30*P49)</f>
        <v>13.849414901722174</v>
      </c>
    </row>
    <row r="58" spans="2:19" ht="15.75" thickBot="1">
      <c r="B58" t="s">
        <v>14</v>
      </c>
      <c r="C58" t="s">
        <v>15</v>
      </c>
      <c r="N58" s="9" t="s">
        <v>27</v>
      </c>
      <c r="P58" s="3">
        <f xml:space="preserve"> D59</f>
        <v>45.842439494180866</v>
      </c>
    </row>
    <row r="59" spans="2:19" ht="19.5" thickBot="1">
      <c r="B59" t="s">
        <v>16</v>
      </c>
      <c r="D59" s="4">
        <f>((C48*C49*C49) / (C48 + D48))^0.5</f>
        <v>45.842439494180866</v>
      </c>
      <c r="I59" s="1"/>
      <c r="L59" s="11" t="s">
        <v>35</v>
      </c>
      <c r="N59" s="12"/>
      <c r="O59" s="13"/>
      <c r="P59" s="24">
        <f xml:space="preserve"> P58^2 / (30 * P49)</f>
        <v>24.943967463236007</v>
      </c>
    </row>
    <row r="60" spans="2:19">
      <c r="P60" s="10"/>
      <c r="R60" s="2" t="s">
        <v>32</v>
      </c>
    </row>
    <row r="61" spans="2:19" ht="18.75">
      <c r="N61" s="15" t="s">
        <v>30</v>
      </c>
      <c r="O61" s="16"/>
      <c r="P61" s="14">
        <f xml:space="preserve"> (30*21*P49)^0.5</f>
        <v>42.062453566096217</v>
      </c>
      <c r="Q61" s="16"/>
      <c r="R61" s="4">
        <f>P58</f>
        <v>45.842439494180866</v>
      </c>
      <c r="S61" s="17" t="s">
        <v>33</v>
      </c>
    </row>
    <row r="62" spans="2:19" ht="18.75">
      <c r="N62" s="15" t="s">
        <v>31</v>
      </c>
      <c r="O62" s="16"/>
      <c r="P62" s="14">
        <f>(30*27*P49)^0.5</f>
        <v>47.694339286753937</v>
      </c>
      <c r="Q62" s="16"/>
      <c r="R62" s="16">
        <f>C49</f>
        <v>66</v>
      </c>
      <c r="S62" s="17" t="s">
        <v>34</v>
      </c>
    </row>
  </sheetData>
  <hyperlinks>
    <hyperlink ref="G5" r:id="rId1" display="W@ * V2"/>
    <hyperlink ref="G26" r:id="rId2" display="W@ * V2"/>
    <hyperlink ref="G48" r:id="rId3" display="W@ * V2"/>
  </hyperlinks>
  <pageMargins left="0.7" right="0.7" top="0.75" bottom="0.75" header="0.3" footer="0.3"/>
  <pageSetup scale="5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4:G21"/>
  <sheetViews>
    <sheetView workbookViewId="0">
      <selection activeCell="G13" sqref="G13"/>
    </sheetView>
  </sheetViews>
  <sheetFormatPr defaultRowHeight="15"/>
  <cols>
    <col min="1" max="1" width="7.28515625" bestFit="1" customWidth="1"/>
    <col min="2" max="2" width="7.85546875" bestFit="1" customWidth="1"/>
    <col min="3" max="4" width="11.140625" bestFit="1" customWidth="1"/>
    <col min="5" max="6" width="13.42578125" bestFit="1" customWidth="1"/>
    <col min="7" max="7" width="13.5703125" bestFit="1" customWidth="1"/>
  </cols>
  <sheetData>
    <row r="4" spans="1:7">
      <c r="A4" t="s">
        <v>43</v>
      </c>
      <c r="B4">
        <v>3260</v>
      </c>
      <c r="D4" s="2"/>
    </row>
    <row r="5" spans="1:7">
      <c r="A5" t="s">
        <v>44</v>
      </c>
      <c r="B5">
        <v>23449</v>
      </c>
      <c r="D5" s="2"/>
    </row>
    <row r="6" spans="1:7">
      <c r="D6" s="2"/>
      <c r="E6" s="2" t="s">
        <v>39</v>
      </c>
      <c r="F6" s="2"/>
      <c r="G6" s="2" t="s">
        <v>41</v>
      </c>
    </row>
    <row r="7" spans="1:7">
      <c r="C7" s="25" t="s">
        <v>38</v>
      </c>
      <c r="D7" s="2"/>
      <c r="E7" s="2" t="s">
        <v>40</v>
      </c>
      <c r="F7" s="2"/>
      <c r="G7" s="2" t="s">
        <v>42</v>
      </c>
    </row>
    <row r="8" spans="1:7">
      <c r="B8" t="s">
        <v>37</v>
      </c>
      <c r="C8">
        <v>1.9</v>
      </c>
      <c r="D8" s="2"/>
      <c r="E8" s="10">
        <f>(30*C8*21)^0.5</f>
        <v>34.597687784012386</v>
      </c>
      <c r="F8" s="2"/>
      <c r="G8" s="10">
        <f>(E8^2*($B$4+$B$5)/$B$5)^0.5</f>
        <v>36.924423714599726</v>
      </c>
    </row>
    <row r="9" spans="1:7">
      <c r="B9" t="s">
        <v>37</v>
      </c>
      <c r="C9">
        <v>2.4</v>
      </c>
      <c r="D9" s="2"/>
      <c r="E9" s="10">
        <f>(30*C9*21)^0.5</f>
        <v>38.884444190447162</v>
      </c>
      <c r="F9" s="2"/>
      <c r="G9" s="10">
        <f>(E9^2*(B$4+B$5)/B$5)^0.5</f>
        <v>41.499469622309675</v>
      </c>
    </row>
    <row r="10" spans="1:7">
      <c r="B10" t="s">
        <v>37</v>
      </c>
      <c r="C10">
        <v>1.3</v>
      </c>
      <c r="D10" s="2"/>
      <c r="E10" s="10">
        <f>(30*C10*21)^0.5</f>
        <v>28.61817604250837</v>
      </c>
      <c r="F10" s="2"/>
      <c r="G10" s="10">
        <f>(E10^2*(B$4+B$5)/B$5)^0.5</f>
        <v>30.542782648639655</v>
      </c>
    </row>
    <row r="11" spans="1:7">
      <c r="D11" s="2"/>
    </row>
    <row r="12" spans="1:7">
      <c r="D12" s="2"/>
    </row>
    <row r="13" spans="1:7">
      <c r="B13" s="2"/>
      <c r="C13" s="2" t="s">
        <v>47</v>
      </c>
      <c r="D13" s="2" t="s">
        <v>47</v>
      </c>
      <c r="E13" s="2" t="s">
        <v>48</v>
      </c>
      <c r="F13" s="2" t="s">
        <v>48</v>
      </c>
    </row>
    <row r="14" spans="1:7">
      <c r="B14" s="2" t="s">
        <v>46</v>
      </c>
      <c r="C14" s="2" t="s">
        <v>42</v>
      </c>
      <c r="D14" s="2" t="s">
        <v>45</v>
      </c>
      <c r="E14" s="2" t="s">
        <v>42</v>
      </c>
      <c r="F14" s="2" t="s">
        <v>45</v>
      </c>
    </row>
    <row r="15" spans="1:7">
      <c r="B15" s="2">
        <v>5.2</v>
      </c>
      <c r="C15" s="10">
        <f>(B15*30*1.9)^0.5</f>
        <v>17.216271373325874</v>
      </c>
      <c r="D15" s="10">
        <f>C15*1.609344</f>
        <v>27.706903037033758</v>
      </c>
      <c r="E15" s="10">
        <f>(C15^2*($B$4+$B$5)/$B$5)^0.5</f>
        <v>18.374086237866337</v>
      </c>
      <c r="F15" s="10">
        <f>E15*1.609344</f>
        <v>29.570225442392765</v>
      </c>
    </row>
    <row r="16" spans="1:7">
      <c r="B16" s="2">
        <v>9</v>
      </c>
      <c r="C16" s="10">
        <f>(B16*30*1.9)^0.5</f>
        <v>22.649503305812249</v>
      </c>
      <c r="D16" s="10">
        <f>C16*1.609344</f>
        <v>36.450842248189112</v>
      </c>
      <c r="E16" s="10">
        <f>(C16^2*($B$4+$B$5)/$B$5)^0.5</f>
        <v>24.172709523539389</v>
      </c>
      <c r="F16" s="10">
        <f>E16*1.609344</f>
        <v>38.902205035450976</v>
      </c>
    </row>
    <row r="17" spans="2:6">
      <c r="B17" s="2">
        <v>19.8</v>
      </c>
      <c r="C17" s="10">
        <f>(B17*30*1.9)^0.5</f>
        <v>33.594642430006601</v>
      </c>
      <c r="D17" s="10">
        <f>C17*1.609344</f>
        <v>54.065336226876546</v>
      </c>
      <c r="E17" s="10">
        <f>(C17^2*($B$4+$B$5)/$B$5)^0.5</f>
        <v>35.853922359495151</v>
      </c>
      <c r="F17" s="10">
        <f>E17*1.609344</f>
        <v>57.701294825719366</v>
      </c>
    </row>
    <row r="18" spans="2:6">
      <c r="B18" s="2">
        <v>21</v>
      </c>
      <c r="C18" s="10">
        <f>(B18*30*1.9)^0.5</f>
        <v>34.597687784012386</v>
      </c>
      <c r="D18" s="10">
        <f>C18*1.609344</f>
        <v>55.679581249073635</v>
      </c>
      <c r="E18" s="10">
        <f>(C18^2*($B$4+$B$5)/$B$5)^0.5</f>
        <v>36.924423714599726</v>
      </c>
      <c r="F18" s="10">
        <f>E18*1.609344</f>
        <v>59.424099758548785</v>
      </c>
    </row>
    <row r="19" spans="2:6">
      <c r="B19" s="2">
        <v>27.9</v>
      </c>
      <c r="C19" s="10">
        <f>(B19*30*1.9)^0.5</f>
        <v>39.878565671297658</v>
      </c>
      <c r="D19" s="10">
        <f>C19*1.609344</f>
        <v>64.178330391708855</v>
      </c>
      <c r="E19" s="10">
        <f>(C19^2*($B$4+$B$5)/$B$5)^0.5</f>
        <v>42.560446963103864</v>
      </c>
      <c r="F19" s="10">
        <f>E19*1.609344</f>
        <v>68.494399957389433</v>
      </c>
    </row>
    <row r="20" spans="2:6">
      <c r="D20" s="2"/>
    </row>
    <row r="21" spans="2:6">
      <c r="D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PSP 2023</vt:lpstr>
      <vt:lpstr>Case 1 CF comparisons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Vomhof</cp:lastModifiedBy>
  <cp:lastPrinted>2025-03-18T19:19:14Z</cp:lastPrinted>
  <dcterms:created xsi:type="dcterms:W3CDTF">2025-03-18T00:14:24Z</dcterms:created>
  <dcterms:modified xsi:type="dcterms:W3CDTF">2026-02-11T03:40:35Z</dcterms:modified>
</cp:coreProperties>
</file>