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rmulas" sheetId="1" r:id="rId1"/>
    <sheet name="SCARS CT1" sheetId="2" r:id="rId2"/>
    <sheet name="SCARS CT2" sheetId="3" r:id="rId3"/>
    <sheet name="SCARS CT3" sheetId="4" r:id="rId4"/>
  </sheets>
  <calcPr calcId="124519"/>
</workbook>
</file>

<file path=xl/calcChain.xml><?xml version="1.0" encoding="utf-8"?>
<calcChain xmlns="http://schemas.openxmlformats.org/spreadsheetml/2006/main">
  <c r="C20" i="2"/>
  <c r="B20"/>
  <c r="C18"/>
  <c r="B18"/>
  <c r="C20" i="3"/>
  <c r="B20"/>
  <c r="C18"/>
  <c r="B18"/>
  <c r="C21" i="4"/>
  <c r="B21"/>
  <c r="C19"/>
  <c r="B19"/>
  <c r="I27"/>
  <c r="K27" s="1"/>
  <c r="G27"/>
  <c r="G26"/>
  <c r="I26" s="1"/>
  <c r="K26" s="1"/>
  <c r="G25"/>
  <c r="I25" s="1"/>
  <c r="K25" s="1"/>
  <c r="G26" i="2"/>
  <c r="I26" s="1"/>
  <c r="K26" s="1"/>
  <c r="G25"/>
  <c r="I25" s="1"/>
  <c r="K25" s="1"/>
  <c r="G24"/>
  <c r="I24" s="1"/>
  <c r="K24" s="1"/>
  <c r="G25" i="3"/>
  <c r="I25" s="1"/>
  <c r="K25" s="1"/>
  <c r="G26"/>
  <c r="I26" s="1"/>
  <c r="K26" s="1"/>
  <c r="G24"/>
  <c r="I24" s="1"/>
  <c r="K24" s="1"/>
  <c r="E18"/>
  <c r="D18" s="1"/>
  <c r="G18"/>
  <c r="F18" s="1"/>
  <c r="H18"/>
  <c r="I18" s="1"/>
  <c r="J7"/>
  <c r="K7" s="1"/>
  <c r="K18" s="1"/>
  <c r="E20"/>
  <c r="D20" s="1"/>
  <c r="G20"/>
  <c r="F20" s="1"/>
  <c r="H20"/>
  <c r="I20" s="1"/>
  <c r="K9"/>
  <c r="K20" s="1"/>
  <c r="J20" s="1"/>
  <c r="E22"/>
  <c r="E28" s="1"/>
  <c r="E18" i="2"/>
  <c r="G18"/>
  <c r="F18" s="1"/>
  <c r="H18"/>
  <c r="I18" s="1"/>
  <c r="J7"/>
  <c r="K7" s="1"/>
  <c r="K18" s="1"/>
  <c r="E20"/>
  <c r="D20" s="1"/>
  <c r="G20"/>
  <c r="F20" s="1"/>
  <c r="H20"/>
  <c r="I20" s="1"/>
  <c r="K9"/>
  <c r="K20" s="1"/>
  <c r="J20" s="1"/>
  <c r="K9" i="4"/>
  <c r="K21" s="1"/>
  <c r="J21" s="1"/>
  <c r="H21"/>
  <c r="I21" s="1"/>
  <c r="G21"/>
  <c r="F21" s="1"/>
  <c r="E21"/>
  <c r="D21" s="1"/>
  <c r="J7"/>
  <c r="K7" s="1"/>
  <c r="K19" s="1"/>
  <c r="H19"/>
  <c r="I19" s="1"/>
  <c r="G19"/>
  <c r="G23" s="1"/>
  <c r="G29" s="1"/>
  <c r="E19"/>
  <c r="D19" s="1"/>
  <c r="Q88" i="1"/>
  <c r="R88" s="1"/>
  <c r="Q87"/>
  <c r="R87" s="1"/>
  <c r="Q86"/>
  <c r="R86" s="1"/>
  <c r="Q85"/>
  <c r="R85" s="1"/>
  <c r="Q84"/>
  <c r="R84" s="1"/>
  <c r="Q83"/>
  <c r="R83" s="1"/>
  <c r="Q68"/>
  <c r="R68" s="1"/>
  <c r="Q67"/>
  <c r="R67" s="1"/>
  <c r="Q66"/>
  <c r="R66" s="1"/>
  <c r="Q65"/>
  <c r="R65" s="1"/>
  <c r="Q64"/>
  <c r="R64" s="1"/>
  <c r="Q63"/>
  <c r="R63" s="1"/>
  <c r="Q62"/>
  <c r="R62" s="1"/>
  <c r="Q61"/>
  <c r="R61" s="1"/>
  <c r="Q60"/>
  <c r="R60" s="1"/>
  <c r="Q45"/>
  <c r="R45" s="1"/>
  <c r="Q44"/>
  <c r="R44" s="1"/>
  <c r="Q27"/>
  <c r="R27" s="1"/>
  <c r="Q26"/>
  <c r="I22" i="2" l="1"/>
  <c r="I28" s="1"/>
  <c r="I23" i="4"/>
  <c r="I29" s="1"/>
  <c r="I22" i="3"/>
  <c r="I28" s="1"/>
  <c r="E22" i="2"/>
  <c r="E28" s="1"/>
  <c r="Q47" i="1"/>
  <c r="R47"/>
  <c r="R90"/>
  <c r="R70"/>
  <c r="Q90"/>
  <c r="J18" i="3"/>
  <c r="K22"/>
  <c r="K28" s="1"/>
  <c r="G22"/>
  <c r="G28" s="1"/>
  <c r="J18" i="2"/>
  <c r="K22"/>
  <c r="K28" s="1"/>
  <c r="G22"/>
  <c r="G28" s="1"/>
  <c r="D18"/>
  <c r="K23" i="4"/>
  <c r="K29" s="1"/>
  <c r="E23"/>
  <c r="E29" s="1"/>
  <c r="F19"/>
  <c r="J19"/>
  <c r="Q29" i="1"/>
  <c r="Q70"/>
  <c r="R26"/>
  <c r="R29" s="1"/>
</calcChain>
</file>

<file path=xl/sharedStrings.xml><?xml version="1.0" encoding="utf-8"?>
<sst xmlns="http://schemas.openxmlformats.org/spreadsheetml/2006/main" count="447" uniqueCount="126">
  <si>
    <t>v in fps =</t>
  </si>
  <si>
    <t>Noon</t>
  </si>
  <si>
    <t>k =</t>
  </si>
  <si>
    <t>lb-ft/in</t>
  </si>
  <si>
    <t>avg crush depth - inches</t>
  </si>
  <si>
    <t>SQR(2*k*c/m)</t>
  </si>
  <si>
    <t xml:space="preserve">m = </t>
  </si>
  <si>
    <t>vehicle mass = wt / 32.2</t>
  </si>
  <si>
    <t>c  inches =</t>
  </si>
  <si>
    <t>Speed mph =</t>
  </si>
  <si>
    <t>SQR(30*CF*MID)</t>
  </si>
  <si>
    <t>Crush Factor</t>
  </si>
  <si>
    <t xml:space="preserve">MID = </t>
  </si>
  <si>
    <t>Maximum Crush in Feet (at primary contact level)</t>
  </si>
  <si>
    <t xml:space="preserve">CF = </t>
  </si>
  <si>
    <t>Crush Factor (G's)</t>
  </si>
  <si>
    <t>Emori</t>
  </si>
  <si>
    <t>1.1 * c</t>
  </si>
  <si>
    <t xml:space="preserve">c = </t>
  </si>
  <si>
    <t>Maximum Crush in inches</t>
  </si>
  <si>
    <t>CRASH 3</t>
  </si>
  <si>
    <t>Test Number</t>
  </si>
  <si>
    <t>Year</t>
  </si>
  <si>
    <t>Make</t>
  </si>
  <si>
    <t>Model</t>
  </si>
  <si>
    <t>Body Style</t>
  </si>
  <si>
    <t>No Damage Speed (mph)</t>
  </si>
  <si>
    <t>Average Crush (inch)</t>
  </si>
  <si>
    <t xml:space="preserve"> KEES</t>
  </si>
  <si>
    <t xml:space="preserve"> A</t>
  </si>
  <si>
    <t>B</t>
  </si>
  <si>
    <t>G</t>
  </si>
  <si>
    <t>Kv</t>
  </si>
  <si>
    <t>b_sub_1</t>
  </si>
  <si>
    <t>Crush Length</t>
  </si>
  <si>
    <t>Vehicle Weight (pounds)</t>
  </si>
  <si>
    <t>DODGE</t>
  </si>
  <si>
    <t>CHARGER</t>
  </si>
  <si>
    <t>FOUR DOOR SEDAN</t>
  </si>
  <si>
    <t xml:space="preserve"> </t>
  </si>
  <si>
    <t>Average (AVG)</t>
  </si>
  <si>
    <t>Minimum (MIN)</t>
  </si>
  <si>
    <t>Maximum (MAX)</t>
  </si>
  <si>
    <t>Standard Deviation (STDev-sample</t>
  </si>
  <si>
    <t>Number of Tests (n)</t>
  </si>
  <si>
    <t>E =</t>
  </si>
  <si>
    <t>A =</t>
  </si>
  <si>
    <t xml:space="preserve">B = </t>
  </si>
  <si>
    <t xml:space="preserve">G = </t>
  </si>
  <si>
    <t xml:space="preserve">C = </t>
  </si>
  <si>
    <t>Energy absorbed in permanent deformation (lb/(in*in))</t>
  </si>
  <si>
    <t>Avg Crush  (inches)</t>
  </si>
  <si>
    <t>KEES / BEV / EBS</t>
  </si>
  <si>
    <t xml:space="preserve">KEES = </t>
  </si>
  <si>
    <t xml:space="preserve">E = </t>
  </si>
  <si>
    <t>Crush Energy  (inch/lbs)</t>
  </si>
  <si>
    <t>gamma =</t>
  </si>
  <si>
    <t>constant coming from Yaw Moment of Inertia and Moment arm - ignored for these illustrations</t>
  </si>
  <si>
    <t>w =</t>
  </si>
  <si>
    <t>weight (lbs)</t>
  </si>
  <si>
    <t>g =</t>
  </si>
  <si>
    <t>gravity (ft/s/s)</t>
  </si>
  <si>
    <t>Bullet</t>
  </si>
  <si>
    <t>Target</t>
  </si>
  <si>
    <t>Weight</t>
  </si>
  <si>
    <t>Noon-KE</t>
  </si>
  <si>
    <t>Noon - k</t>
  </si>
  <si>
    <t>Side Impact Test Summary</t>
  </si>
  <si>
    <t>Report Filter Settings</t>
  </si>
  <si>
    <t>Year Range: 2015 - 2021</t>
  </si>
  <si>
    <t>Make: DODGE</t>
  </si>
  <si>
    <t>Model: CHARGER</t>
  </si>
  <si>
    <t>Front Impact Test Summary</t>
  </si>
  <si>
    <t>Year Range: 2013 - 2019</t>
  </si>
  <si>
    <t>Make: FORD</t>
  </si>
  <si>
    <t>Model: TAURUS</t>
  </si>
  <si>
    <t>FORD</t>
  </si>
  <si>
    <t>TAURUS</t>
  </si>
  <si>
    <t>Year Range: 2007 - 2012</t>
  </si>
  <si>
    <t>Make: LINCOLN</t>
  </si>
  <si>
    <t>Model: MKZ</t>
  </si>
  <si>
    <t>FUSION</t>
  </si>
  <si>
    <t>FUSION HYBRID</t>
  </si>
  <si>
    <t>Year Range: 1965 - 2021</t>
  </si>
  <si>
    <t>Make: NA</t>
  </si>
  <si>
    <t>Model: 626</t>
  </si>
  <si>
    <t>MAZDA</t>
  </si>
  <si>
    <t>TWO DOOR COUPE</t>
  </si>
  <si>
    <t>Avg Crush</t>
  </si>
  <si>
    <t>Max Crush</t>
  </si>
  <si>
    <t>v = fps</t>
  </si>
  <si>
    <t>Damage Speed</t>
  </si>
  <si>
    <t>A</t>
  </si>
  <si>
    <t>E</t>
  </si>
  <si>
    <t>k</t>
  </si>
  <si>
    <t>v = mph</t>
  </si>
  <si>
    <t>SCARS</t>
  </si>
  <si>
    <t>Crash Test #1</t>
  </si>
  <si>
    <t>2013 Ford Taurus AWD</t>
  </si>
  <si>
    <t>2015 Dodge Charger</t>
  </si>
  <si>
    <t>Combined Speed</t>
  </si>
  <si>
    <t>(A*C + (B*C*C/2) + G ) * L  (in/lbs)</t>
  </si>
  <si>
    <t xml:space="preserve">L = </t>
  </si>
  <si>
    <t>Damage Length (in)</t>
  </si>
  <si>
    <t>(360/528)* SQR[ ((2*E*gamma)/12) / (w/g)]  (mph)</t>
  </si>
  <si>
    <t>Instrumented Closing Speed</t>
  </si>
  <si>
    <t>Instrumented delta-v Target</t>
  </si>
  <si>
    <t>Instrumented delta-v Bullet</t>
  </si>
  <si>
    <t>Crash Test #3</t>
  </si>
  <si>
    <t>Crash Test #2</t>
  </si>
  <si>
    <t>1996 Mazda 626</t>
  </si>
  <si>
    <t>2016 Dodge Charger</t>
  </si>
  <si>
    <t>2008 Lincoln MKz</t>
  </si>
  <si>
    <t>~47</t>
  </si>
  <si>
    <t>22-23</t>
  </si>
  <si>
    <t>~26-27</t>
  </si>
  <si>
    <t>Combined Crush Speed</t>
  </si>
  <si>
    <t>Combined Crush + Rollout Speed</t>
  </si>
  <si>
    <t>~48</t>
  </si>
  <si>
    <t>~26-31</t>
  </si>
  <si>
    <t>~37-38</t>
  </si>
  <si>
    <t>~22-23</t>
  </si>
  <si>
    <t>~50-51</t>
  </si>
  <si>
    <t xml:space="preserve"> Noon's </t>
  </si>
  <si>
    <t>Spring pre-loading value (lbs/inch)</t>
  </si>
  <si>
    <t>Energy absorbed in elastic deformation ((A*A)/(2*B))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</si>
</sst>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94"/>
  <sheetViews>
    <sheetView tabSelected="1" workbookViewId="0">
      <selection activeCell="K9" sqref="K9"/>
    </sheetView>
  </sheetViews>
  <sheetFormatPr defaultRowHeight="15"/>
  <cols>
    <col min="1" max="1" width="12.42578125" bestFit="1" customWidth="1"/>
    <col min="3" max="3" width="9.140625" style="6"/>
    <col min="4" max="7" width="11.85546875" style="6" customWidth="1"/>
    <col min="8" max="8" width="18.7109375" style="6" customWidth="1"/>
    <col min="9" max="16" width="11.85546875" style="6" customWidth="1"/>
    <col min="17" max="17" width="12" style="6" bestFit="1" customWidth="1"/>
    <col min="18" max="18" width="12" style="5" bestFit="1" customWidth="1"/>
  </cols>
  <sheetData>
    <row r="2" spans="2:16">
      <c r="B2" t="s">
        <v>16</v>
      </c>
      <c r="C2"/>
      <c r="H2" t="s">
        <v>20</v>
      </c>
      <c r="I2"/>
      <c r="P2"/>
    </row>
    <row r="3" spans="2:16">
      <c r="B3" t="s">
        <v>9</v>
      </c>
      <c r="C3" s="1" t="s">
        <v>17</v>
      </c>
      <c r="H3" t="s">
        <v>45</v>
      </c>
      <c r="I3" s="1" t="s">
        <v>101</v>
      </c>
      <c r="P3"/>
    </row>
    <row r="4" spans="2:16">
      <c r="B4" t="s">
        <v>18</v>
      </c>
      <c r="C4" t="s">
        <v>19</v>
      </c>
      <c r="H4" t="s">
        <v>46</v>
      </c>
      <c r="I4" s="1" t="s">
        <v>124</v>
      </c>
      <c r="P4"/>
    </row>
    <row r="5" spans="2:16">
      <c r="B5" s="6"/>
      <c r="H5" t="s">
        <v>47</v>
      </c>
      <c r="I5" s="1" t="s">
        <v>50</v>
      </c>
      <c r="P5"/>
    </row>
    <row r="6" spans="2:16">
      <c r="B6" t="s">
        <v>11</v>
      </c>
      <c r="C6"/>
      <c r="H6" t="s">
        <v>48</v>
      </c>
      <c r="I6" s="1" t="s">
        <v>125</v>
      </c>
      <c r="P6"/>
    </row>
    <row r="7" spans="2:16">
      <c r="B7" t="s">
        <v>9</v>
      </c>
      <c r="C7" s="1" t="s">
        <v>10</v>
      </c>
      <c r="H7" t="s">
        <v>49</v>
      </c>
      <c r="I7" s="1" t="s">
        <v>51</v>
      </c>
      <c r="P7"/>
    </row>
    <row r="8" spans="2:16">
      <c r="B8" t="s">
        <v>12</v>
      </c>
      <c r="C8" t="s">
        <v>13</v>
      </c>
      <c r="H8" t="s">
        <v>102</v>
      </c>
      <c r="I8" t="s">
        <v>103</v>
      </c>
      <c r="P8"/>
    </row>
    <row r="9" spans="2:16">
      <c r="B9" t="s">
        <v>14</v>
      </c>
      <c r="C9" t="s">
        <v>15</v>
      </c>
      <c r="H9"/>
      <c r="I9"/>
      <c r="P9"/>
    </row>
    <row r="10" spans="2:16">
      <c r="B10" s="6"/>
      <c r="H10" t="s">
        <v>52</v>
      </c>
      <c r="I10"/>
      <c r="P10"/>
    </row>
    <row r="11" spans="2:16">
      <c r="B11" t="s">
        <v>1</v>
      </c>
      <c r="C11"/>
      <c r="H11" t="s">
        <v>53</v>
      </c>
      <c r="I11" s="1" t="s">
        <v>104</v>
      </c>
      <c r="P11"/>
    </row>
    <row r="12" spans="2:16">
      <c r="B12" t="s">
        <v>0</v>
      </c>
      <c r="C12" s="1" t="s">
        <v>5</v>
      </c>
      <c r="H12" t="s">
        <v>54</v>
      </c>
      <c r="I12" s="1" t="s">
        <v>55</v>
      </c>
      <c r="P12"/>
    </row>
    <row r="13" spans="2:16">
      <c r="B13" t="s">
        <v>2</v>
      </c>
      <c r="C13" s="1" t="s">
        <v>3</v>
      </c>
      <c r="H13" t="s">
        <v>56</v>
      </c>
      <c r="I13" s="1" t="s">
        <v>57</v>
      </c>
      <c r="P13"/>
    </row>
    <row r="14" spans="2:16">
      <c r="B14" t="s">
        <v>8</v>
      </c>
      <c r="C14" t="s">
        <v>4</v>
      </c>
      <c r="H14" t="s">
        <v>58</v>
      </c>
      <c r="I14" t="s">
        <v>59</v>
      </c>
      <c r="P14"/>
    </row>
    <row r="15" spans="2:16">
      <c r="B15" t="s">
        <v>6</v>
      </c>
      <c r="C15" t="s">
        <v>7</v>
      </c>
      <c r="H15" t="s">
        <v>60</v>
      </c>
      <c r="I15" t="s">
        <v>61</v>
      </c>
      <c r="P15"/>
    </row>
    <row r="20" spans="1:18">
      <c r="A20" t="s">
        <v>67</v>
      </c>
      <c r="R20"/>
    </row>
    <row r="21" spans="1:18">
      <c r="A21" t="s">
        <v>68</v>
      </c>
      <c r="R21"/>
    </row>
    <row r="22" spans="1:18">
      <c r="A22" t="s">
        <v>69</v>
      </c>
      <c r="R22"/>
    </row>
    <row r="23" spans="1:18">
      <c r="A23" t="s">
        <v>70</v>
      </c>
      <c r="R23"/>
    </row>
    <row r="24" spans="1:18">
      <c r="A24" t="s">
        <v>71</v>
      </c>
      <c r="R24"/>
    </row>
    <row r="25" spans="1:18" s="5" customFormat="1" ht="45">
      <c r="A25" s="5" t="s">
        <v>21</v>
      </c>
      <c r="B25" s="5" t="s">
        <v>22</v>
      </c>
      <c r="C25" s="6" t="s">
        <v>23</v>
      </c>
      <c r="D25" s="6" t="s">
        <v>24</v>
      </c>
      <c r="E25" s="6" t="s">
        <v>25</v>
      </c>
      <c r="F25" s="6" t="s">
        <v>26</v>
      </c>
      <c r="G25" s="6" t="s">
        <v>27</v>
      </c>
      <c r="H25" s="6" t="s">
        <v>28</v>
      </c>
      <c r="I25" s="6" t="s">
        <v>29</v>
      </c>
      <c r="J25" s="6" t="s">
        <v>30</v>
      </c>
      <c r="K25" s="6" t="s">
        <v>31</v>
      </c>
      <c r="L25" s="6" t="s">
        <v>32</v>
      </c>
      <c r="M25" s="6" t="s">
        <v>11</v>
      </c>
      <c r="N25" s="6" t="s">
        <v>33</v>
      </c>
      <c r="O25" s="6" t="s">
        <v>34</v>
      </c>
      <c r="P25" s="6" t="s">
        <v>35</v>
      </c>
      <c r="Q25" s="6" t="s">
        <v>65</v>
      </c>
      <c r="R25" s="5" t="s">
        <v>66</v>
      </c>
    </row>
    <row r="26" spans="1:18" s="5" customFormat="1" ht="30">
      <c r="A26" s="5">
        <v>9502</v>
      </c>
      <c r="B26" s="5">
        <v>2016</v>
      </c>
      <c r="C26" s="6" t="s">
        <v>36</v>
      </c>
      <c r="D26" s="6" t="s">
        <v>37</v>
      </c>
      <c r="E26" s="6" t="s">
        <v>38</v>
      </c>
      <c r="F26" s="6">
        <v>2</v>
      </c>
      <c r="G26" s="6">
        <v>5.5</v>
      </c>
      <c r="H26" s="6">
        <v>20</v>
      </c>
      <c r="I26" s="6">
        <v>375.5</v>
      </c>
      <c r="J26" s="6">
        <v>615.20000000000005</v>
      </c>
      <c r="K26" s="6">
        <v>114.6</v>
      </c>
      <c r="L26" s="6">
        <v>759.3</v>
      </c>
      <c r="M26" s="6">
        <v>29.2</v>
      </c>
      <c r="N26" s="6">
        <v>57.7</v>
      </c>
      <c r="O26" s="6">
        <v>58.5</v>
      </c>
      <c r="P26" s="6">
        <v>4179.1000000000004</v>
      </c>
      <c r="Q26" s="7">
        <f>0.5*H26^2*P26/32.2</f>
        <v>25957.142857142859</v>
      </c>
      <c r="R26" s="3">
        <f>Q26/H26</f>
        <v>1297.8571428571429</v>
      </c>
    </row>
    <row r="27" spans="1:18" s="5" customFormat="1" ht="30">
      <c r="A27" s="5">
        <v>9504</v>
      </c>
      <c r="B27" s="5">
        <v>2016</v>
      </c>
      <c r="C27" s="6" t="s">
        <v>36</v>
      </c>
      <c r="D27" s="6" t="s">
        <v>37</v>
      </c>
      <c r="E27" s="6" t="s">
        <v>38</v>
      </c>
      <c r="F27" s="6">
        <v>2</v>
      </c>
      <c r="G27" s="6">
        <v>14.3</v>
      </c>
      <c r="H27" s="6">
        <v>24.3</v>
      </c>
      <c r="I27" s="6">
        <v>124.1</v>
      </c>
      <c r="J27" s="6">
        <v>96.7</v>
      </c>
      <c r="K27" s="6">
        <v>79.599999999999994</v>
      </c>
      <c r="L27" s="6">
        <v>114.8</v>
      </c>
      <c r="M27" s="6">
        <v>16.5</v>
      </c>
      <c r="N27" s="6">
        <v>27.4</v>
      </c>
      <c r="O27" s="6">
        <v>87.6</v>
      </c>
      <c r="P27" s="6">
        <v>4348.8</v>
      </c>
      <c r="Q27" s="7">
        <f>0.5*H27^2*P27/32.2</f>
        <v>39874.579378881986</v>
      </c>
      <c r="R27" s="3">
        <f>Q27/H27</f>
        <v>1640.9291925465839</v>
      </c>
    </row>
    <row r="28" spans="1:18">
      <c r="Q28" s="7"/>
      <c r="R28" s="3"/>
    </row>
    <row r="29" spans="1:18">
      <c r="B29" t="s">
        <v>39</v>
      </c>
      <c r="C29" s="6" t="s">
        <v>39</v>
      </c>
      <c r="D29" s="6" t="s">
        <v>39</v>
      </c>
      <c r="E29" s="6" t="s">
        <v>39</v>
      </c>
      <c r="F29" s="6" t="s">
        <v>39</v>
      </c>
      <c r="G29" s="6" t="s">
        <v>39</v>
      </c>
      <c r="H29" s="6" t="s">
        <v>40</v>
      </c>
      <c r="I29" s="6">
        <v>249.8</v>
      </c>
      <c r="J29" s="6">
        <v>355.9</v>
      </c>
      <c r="K29" s="6">
        <v>97.1</v>
      </c>
      <c r="L29" s="6">
        <v>437</v>
      </c>
      <c r="M29" s="6">
        <v>22.8</v>
      </c>
      <c r="Q29" s="7">
        <f>SUM(Q26:Q28)</f>
        <v>65831.722236024842</v>
      </c>
      <c r="R29" s="3">
        <f>AVERAGE(R26:R27)</f>
        <v>1469.3931677018634</v>
      </c>
    </row>
    <row r="30" spans="1:18">
      <c r="B30" t="s">
        <v>39</v>
      </c>
      <c r="C30" s="6" t="s">
        <v>39</v>
      </c>
      <c r="D30" s="6" t="s">
        <v>39</v>
      </c>
      <c r="E30" s="6" t="s">
        <v>39</v>
      </c>
      <c r="F30" s="6" t="s">
        <v>39</v>
      </c>
      <c r="G30" s="6" t="s">
        <v>39</v>
      </c>
      <c r="H30" s="6" t="s">
        <v>41</v>
      </c>
      <c r="I30" s="6">
        <v>124.1</v>
      </c>
      <c r="J30" s="6">
        <v>96.7</v>
      </c>
      <c r="K30" s="6">
        <v>79.599999999999994</v>
      </c>
      <c r="L30" s="6">
        <v>114.8</v>
      </c>
      <c r="M30" s="6">
        <v>16.5</v>
      </c>
    </row>
    <row r="31" spans="1:18">
      <c r="B31" t="s">
        <v>39</v>
      </c>
      <c r="C31" s="6" t="s">
        <v>39</v>
      </c>
      <c r="D31" s="6" t="s">
        <v>39</v>
      </c>
      <c r="E31" s="6" t="s">
        <v>39</v>
      </c>
      <c r="F31" s="6" t="s">
        <v>39</v>
      </c>
      <c r="G31" s="6" t="s">
        <v>39</v>
      </c>
      <c r="H31" s="6" t="s">
        <v>42</v>
      </c>
      <c r="I31" s="6">
        <v>375.5</v>
      </c>
      <c r="J31" s="6">
        <v>615.20000000000005</v>
      </c>
      <c r="K31" s="6">
        <v>114.6</v>
      </c>
      <c r="L31" s="6">
        <v>759.3</v>
      </c>
      <c r="M31" s="6">
        <v>29.2</v>
      </c>
    </row>
    <row r="32" spans="1:18" ht="30">
      <c r="B32" t="s">
        <v>39</v>
      </c>
      <c r="C32" s="6" t="s">
        <v>39</v>
      </c>
      <c r="D32" s="6" t="s">
        <v>39</v>
      </c>
      <c r="E32" s="6" t="s">
        <v>39</v>
      </c>
      <c r="F32" s="6" t="s">
        <v>39</v>
      </c>
      <c r="G32" s="6" t="s">
        <v>39</v>
      </c>
      <c r="H32" s="6" t="s">
        <v>43</v>
      </c>
      <c r="I32" s="6">
        <v>177.8</v>
      </c>
      <c r="J32" s="6">
        <v>366.6</v>
      </c>
      <c r="K32" s="6">
        <v>24.8</v>
      </c>
      <c r="L32" s="6">
        <v>455.7</v>
      </c>
      <c r="M32" s="6">
        <v>8.9</v>
      </c>
    </row>
    <row r="33" spans="1:18" ht="30">
      <c r="B33" t="s">
        <v>39</v>
      </c>
      <c r="C33" s="6" t="s">
        <v>39</v>
      </c>
      <c r="D33" s="6" t="s">
        <v>39</v>
      </c>
      <c r="E33" s="6" t="s">
        <v>39</v>
      </c>
      <c r="F33" s="6" t="s">
        <v>39</v>
      </c>
      <c r="G33" s="6" t="s">
        <v>44</v>
      </c>
      <c r="H33" s="6">
        <v>2</v>
      </c>
    </row>
    <row r="38" spans="1:18">
      <c r="A38" t="s">
        <v>72</v>
      </c>
      <c r="R38"/>
    </row>
    <row r="39" spans="1:18">
      <c r="A39" t="s">
        <v>68</v>
      </c>
      <c r="R39"/>
    </row>
    <row r="40" spans="1:18">
      <c r="A40" t="s">
        <v>73</v>
      </c>
      <c r="R40"/>
    </row>
    <row r="41" spans="1:18">
      <c r="A41" t="s">
        <v>74</v>
      </c>
      <c r="R41"/>
    </row>
    <row r="42" spans="1:18">
      <c r="A42" t="s">
        <v>75</v>
      </c>
      <c r="R42"/>
    </row>
    <row r="43" spans="1:18" s="6" customFormat="1" ht="45">
      <c r="A43" s="6" t="s">
        <v>21</v>
      </c>
      <c r="B43" s="6" t="s">
        <v>22</v>
      </c>
      <c r="C43" s="6" t="s">
        <v>23</v>
      </c>
      <c r="D43" s="6" t="s">
        <v>24</v>
      </c>
      <c r="E43" s="6" t="s">
        <v>25</v>
      </c>
      <c r="F43" s="6" t="s">
        <v>26</v>
      </c>
      <c r="G43" s="6" t="s">
        <v>27</v>
      </c>
      <c r="H43" s="6" t="s">
        <v>28</v>
      </c>
      <c r="I43" s="6" t="s">
        <v>29</v>
      </c>
      <c r="J43" s="6" t="s">
        <v>30</v>
      </c>
      <c r="K43" s="6" t="s">
        <v>31</v>
      </c>
      <c r="L43" s="6" t="s">
        <v>32</v>
      </c>
      <c r="M43" s="6" t="s">
        <v>11</v>
      </c>
      <c r="N43" s="6" t="s">
        <v>33</v>
      </c>
      <c r="O43" s="6" t="s">
        <v>34</v>
      </c>
      <c r="P43" s="6" t="s">
        <v>35</v>
      </c>
      <c r="Q43" s="6" t="s">
        <v>65</v>
      </c>
      <c r="R43" s="5" t="s">
        <v>66</v>
      </c>
    </row>
    <row r="44" spans="1:18" s="5" customFormat="1" ht="30">
      <c r="A44" s="5">
        <v>7872</v>
      </c>
      <c r="B44" s="5">
        <v>2013</v>
      </c>
      <c r="C44" s="6" t="s">
        <v>76</v>
      </c>
      <c r="D44" s="6" t="s">
        <v>77</v>
      </c>
      <c r="E44" s="6" t="s">
        <v>38</v>
      </c>
      <c r="F44" s="6">
        <v>5</v>
      </c>
      <c r="G44" s="6">
        <v>15.4</v>
      </c>
      <c r="H44" s="6">
        <v>34.799999999999997</v>
      </c>
      <c r="I44" s="6">
        <v>474.2</v>
      </c>
      <c r="J44" s="6">
        <v>183.1</v>
      </c>
      <c r="K44" s="6">
        <v>614</v>
      </c>
      <c r="L44" s="6">
        <v>249.8</v>
      </c>
      <c r="M44" s="6">
        <v>31.4</v>
      </c>
      <c r="N44" s="6">
        <v>34</v>
      </c>
      <c r="O44" s="6">
        <v>75.8</v>
      </c>
      <c r="P44" s="6">
        <v>4646.3999999999996</v>
      </c>
      <c r="Q44" s="7">
        <f>0.5*H44^2*P44/32.2</f>
        <v>87375.407701863325</v>
      </c>
      <c r="R44" s="3">
        <f>Q44/H44</f>
        <v>2510.7875776397509</v>
      </c>
    </row>
    <row r="45" spans="1:18" s="5" customFormat="1" ht="30">
      <c r="A45" s="5">
        <v>9125</v>
      </c>
      <c r="B45" s="5">
        <v>2013</v>
      </c>
      <c r="C45" s="6" t="s">
        <v>76</v>
      </c>
      <c r="D45" s="6" t="s">
        <v>77</v>
      </c>
      <c r="E45" s="6" t="s">
        <v>38</v>
      </c>
      <c r="F45" s="6">
        <v>5</v>
      </c>
      <c r="G45" s="6">
        <v>8.9</v>
      </c>
      <c r="H45" s="6">
        <v>41.1</v>
      </c>
      <c r="I45" s="6">
        <v>1001.2</v>
      </c>
      <c r="J45" s="6">
        <v>815.9</v>
      </c>
      <c r="K45" s="6">
        <v>614.29999999999995</v>
      </c>
      <c r="L45" s="6">
        <v>1057.4000000000001</v>
      </c>
      <c r="M45" s="6">
        <v>76.3</v>
      </c>
      <c r="N45" s="6">
        <v>71.7</v>
      </c>
      <c r="O45" s="6">
        <v>76.3</v>
      </c>
      <c r="P45" s="6">
        <v>4679.3999999999996</v>
      </c>
      <c r="Q45" s="7">
        <f>0.5*H45^2*P45/32.2</f>
        <v>122740.5166770186</v>
      </c>
      <c r="R45" s="3">
        <f>Q45/H45</f>
        <v>2986.3872670807446</v>
      </c>
    </row>
    <row r="46" spans="1:18">
      <c r="R46"/>
    </row>
    <row r="47" spans="1:18">
      <c r="B47" t="s">
        <v>39</v>
      </c>
      <c r="C47" s="6" t="s">
        <v>39</v>
      </c>
      <c r="D47" s="6" t="s">
        <v>39</v>
      </c>
      <c r="E47" s="6" t="s">
        <v>39</v>
      </c>
      <c r="F47" s="6" t="s">
        <v>39</v>
      </c>
      <c r="G47" s="6" t="s">
        <v>39</v>
      </c>
      <c r="H47" s="6" t="s">
        <v>40</v>
      </c>
      <c r="I47" s="6">
        <v>737.7</v>
      </c>
      <c r="J47" s="6">
        <v>499.5</v>
      </c>
      <c r="K47" s="6">
        <v>614.1</v>
      </c>
      <c r="L47" s="6">
        <v>653.6</v>
      </c>
      <c r="M47" s="6">
        <v>53.8</v>
      </c>
      <c r="Q47" s="7">
        <f>SUM(Q44:Q46)</f>
        <v>210115.92437888193</v>
      </c>
      <c r="R47" s="3">
        <f>AVERAGE(R44:R45)</f>
        <v>2748.5874223602477</v>
      </c>
    </row>
    <row r="48" spans="1:18">
      <c r="B48" t="s">
        <v>39</v>
      </c>
      <c r="C48" s="6" t="s">
        <v>39</v>
      </c>
      <c r="D48" s="6" t="s">
        <v>39</v>
      </c>
      <c r="E48" s="6" t="s">
        <v>39</v>
      </c>
      <c r="F48" s="6" t="s">
        <v>39</v>
      </c>
      <c r="G48" s="6" t="s">
        <v>39</v>
      </c>
      <c r="H48" s="6" t="s">
        <v>41</v>
      </c>
      <c r="I48" s="6">
        <v>474.2</v>
      </c>
      <c r="J48" s="6">
        <v>183.1</v>
      </c>
      <c r="K48" s="6">
        <v>614</v>
      </c>
      <c r="L48" s="6">
        <v>249.8</v>
      </c>
      <c r="M48" s="6">
        <v>31.4</v>
      </c>
      <c r="R48"/>
    </row>
    <row r="49" spans="1:18">
      <c r="B49" t="s">
        <v>39</v>
      </c>
      <c r="C49" s="6" t="s">
        <v>39</v>
      </c>
      <c r="D49" s="6" t="s">
        <v>39</v>
      </c>
      <c r="E49" s="6" t="s">
        <v>39</v>
      </c>
      <c r="F49" s="6" t="s">
        <v>39</v>
      </c>
      <c r="G49" s="6" t="s">
        <v>39</v>
      </c>
      <c r="H49" s="6" t="s">
        <v>42</v>
      </c>
      <c r="I49" s="6">
        <v>1001.2</v>
      </c>
      <c r="J49" s="6">
        <v>815.9</v>
      </c>
      <c r="K49" s="6">
        <v>614.29999999999995</v>
      </c>
      <c r="L49" s="6">
        <v>1057.4000000000001</v>
      </c>
      <c r="M49" s="6">
        <v>76.3</v>
      </c>
      <c r="R49"/>
    </row>
    <row r="50" spans="1:18" ht="30">
      <c r="B50" t="s">
        <v>39</v>
      </c>
      <c r="C50" s="6" t="s">
        <v>39</v>
      </c>
      <c r="D50" s="6" t="s">
        <v>39</v>
      </c>
      <c r="E50" s="6" t="s">
        <v>39</v>
      </c>
      <c r="F50" s="6" t="s">
        <v>39</v>
      </c>
      <c r="G50" s="6" t="s">
        <v>39</v>
      </c>
      <c r="H50" s="6" t="s">
        <v>43</v>
      </c>
      <c r="I50" s="6">
        <v>372.6</v>
      </c>
      <c r="J50" s="6">
        <v>447.4</v>
      </c>
      <c r="K50" s="6">
        <v>0.2</v>
      </c>
      <c r="L50" s="6">
        <v>571.1</v>
      </c>
      <c r="M50" s="6">
        <v>31.8</v>
      </c>
      <c r="R50"/>
    </row>
    <row r="51" spans="1:18" ht="30">
      <c r="B51" t="s">
        <v>39</v>
      </c>
      <c r="C51" s="6" t="s">
        <v>39</v>
      </c>
      <c r="D51" s="6" t="s">
        <v>39</v>
      </c>
      <c r="E51" s="6" t="s">
        <v>39</v>
      </c>
      <c r="F51" s="6" t="s">
        <v>39</v>
      </c>
      <c r="G51" s="6" t="s">
        <v>44</v>
      </c>
      <c r="H51" s="6">
        <v>2</v>
      </c>
      <c r="R51"/>
    </row>
    <row r="54" spans="1:18">
      <c r="A54" t="s">
        <v>72</v>
      </c>
      <c r="R54"/>
    </row>
    <row r="55" spans="1:18">
      <c r="A55" t="s">
        <v>68</v>
      </c>
      <c r="R55"/>
    </row>
    <row r="56" spans="1:18">
      <c r="A56" t="s">
        <v>78</v>
      </c>
      <c r="R56"/>
    </row>
    <row r="57" spans="1:18">
      <c r="A57" t="s">
        <v>79</v>
      </c>
      <c r="R57"/>
    </row>
    <row r="58" spans="1:18">
      <c r="A58" t="s">
        <v>80</v>
      </c>
      <c r="R58"/>
    </row>
    <row r="59" spans="1:18" s="6" customFormat="1" ht="45">
      <c r="A59" s="6" t="s">
        <v>21</v>
      </c>
      <c r="B59" s="6" t="s">
        <v>22</v>
      </c>
      <c r="C59" s="6" t="s">
        <v>23</v>
      </c>
      <c r="D59" s="6" t="s">
        <v>24</v>
      </c>
      <c r="E59" s="6" t="s">
        <v>25</v>
      </c>
      <c r="F59" s="6" t="s">
        <v>26</v>
      </c>
      <c r="G59" s="6" t="s">
        <v>27</v>
      </c>
      <c r="H59" s="6" t="s">
        <v>28</v>
      </c>
      <c r="I59" s="6" t="s">
        <v>29</v>
      </c>
      <c r="J59" s="6" t="s">
        <v>30</v>
      </c>
      <c r="K59" s="6" t="s">
        <v>31</v>
      </c>
      <c r="L59" s="6" t="s">
        <v>32</v>
      </c>
      <c r="M59" s="6" t="s">
        <v>11</v>
      </c>
      <c r="N59" s="6" t="s">
        <v>33</v>
      </c>
      <c r="O59" s="6" t="s">
        <v>34</v>
      </c>
      <c r="P59" s="6" t="s">
        <v>35</v>
      </c>
      <c r="Q59" s="6" t="s">
        <v>65</v>
      </c>
      <c r="R59" s="5" t="s">
        <v>66</v>
      </c>
    </row>
    <row r="60" spans="1:18" s="5" customFormat="1" ht="30">
      <c r="A60" s="5">
        <v>6225</v>
      </c>
      <c r="B60" s="5">
        <v>2008</v>
      </c>
      <c r="C60" s="6" t="s">
        <v>76</v>
      </c>
      <c r="D60" s="6" t="s">
        <v>81</v>
      </c>
      <c r="E60" s="6" t="s">
        <v>38</v>
      </c>
      <c r="F60" s="6">
        <v>5</v>
      </c>
      <c r="G60" s="6">
        <v>23.4</v>
      </c>
      <c r="H60" s="6">
        <v>35</v>
      </c>
      <c r="I60" s="6">
        <v>268.89999999999998</v>
      </c>
      <c r="J60" s="6">
        <v>68.900000000000006</v>
      </c>
      <c r="K60" s="6">
        <v>524.29999999999995</v>
      </c>
      <c r="L60" s="6">
        <v>93.8</v>
      </c>
      <c r="M60" s="6">
        <v>20.9</v>
      </c>
      <c r="N60" s="6">
        <v>22.6</v>
      </c>
      <c r="O60" s="6">
        <v>71.7</v>
      </c>
      <c r="P60" s="6">
        <v>3749.3</v>
      </c>
      <c r="Q60" s="7">
        <f>0.5*H60^2*P60/32.2</f>
        <v>71318.206521739121</v>
      </c>
      <c r="R60" s="3">
        <f>Q60/H60</f>
        <v>2037.6630434782605</v>
      </c>
    </row>
    <row r="61" spans="1:18" s="5" customFormat="1" ht="30">
      <c r="A61" s="5">
        <v>6755</v>
      </c>
      <c r="B61" s="5">
        <v>2010</v>
      </c>
      <c r="C61" s="6" t="s">
        <v>76</v>
      </c>
      <c r="D61" s="6" t="s">
        <v>81</v>
      </c>
      <c r="E61" s="6" t="s">
        <v>38</v>
      </c>
      <c r="F61" s="6">
        <v>5</v>
      </c>
      <c r="G61" s="6">
        <v>21.9</v>
      </c>
      <c r="H61" s="6">
        <v>35</v>
      </c>
      <c r="I61" s="6">
        <v>278.5</v>
      </c>
      <c r="J61" s="6">
        <v>76.099999999999994</v>
      </c>
      <c r="K61" s="6">
        <v>509.5</v>
      </c>
      <c r="L61" s="6">
        <v>103.7</v>
      </c>
      <c r="M61" s="6">
        <v>22.3</v>
      </c>
      <c r="N61" s="6">
        <v>24.1</v>
      </c>
      <c r="O61" s="6">
        <v>71.599999999999994</v>
      </c>
      <c r="P61" s="6">
        <v>3639.1</v>
      </c>
      <c r="Q61" s="7">
        <f>0.5*H61^2*P61/32.2</f>
        <v>69222.010869565216</v>
      </c>
      <c r="R61" s="3">
        <f>Q61/H61</f>
        <v>1977.7717391304348</v>
      </c>
    </row>
    <row r="62" spans="1:18" s="5" customFormat="1" ht="30">
      <c r="A62" s="5">
        <v>5546</v>
      </c>
      <c r="B62" s="5">
        <v>2006</v>
      </c>
      <c r="C62" s="6" t="s">
        <v>76</v>
      </c>
      <c r="D62" s="6" t="s">
        <v>81</v>
      </c>
      <c r="E62" s="6" t="s">
        <v>38</v>
      </c>
      <c r="F62" s="6">
        <v>5</v>
      </c>
      <c r="G62" s="6">
        <v>22</v>
      </c>
      <c r="H62" s="6">
        <v>35.1</v>
      </c>
      <c r="I62" s="6">
        <v>300.2</v>
      </c>
      <c r="J62" s="6">
        <v>82.1</v>
      </c>
      <c r="K62" s="6">
        <v>549</v>
      </c>
      <c r="L62" s="6">
        <v>111.6</v>
      </c>
      <c r="M62" s="6">
        <v>22.4</v>
      </c>
      <c r="N62" s="6">
        <v>24.1</v>
      </c>
      <c r="O62" s="6">
        <v>71.7</v>
      </c>
      <c r="P62" s="6">
        <v>3925.6</v>
      </c>
      <c r="Q62" s="7">
        <f t="shared" ref="Q62:Q68" si="0">0.5*H62^2*P62/32.2</f>
        <v>75099.044347826086</v>
      </c>
      <c r="R62" s="3">
        <f t="shared" ref="R62:R68" si="1">Q62/H62</f>
        <v>2139.5739130434781</v>
      </c>
    </row>
    <row r="63" spans="1:18" s="5" customFormat="1" ht="30">
      <c r="A63" s="5">
        <v>5804</v>
      </c>
      <c r="B63" s="5">
        <v>2006</v>
      </c>
      <c r="C63" s="6" t="s">
        <v>76</v>
      </c>
      <c r="D63" s="6" t="s">
        <v>81</v>
      </c>
      <c r="E63" s="6" t="s">
        <v>38</v>
      </c>
      <c r="F63" s="6">
        <v>5</v>
      </c>
      <c r="G63" s="6">
        <v>12.5</v>
      </c>
      <c r="H63" s="6">
        <v>25.1</v>
      </c>
      <c r="I63" s="6">
        <v>344.7</v>
      </c>
      <c r="J63" s="6">
        <v>111</v>
      </c>
      <c r="K63" s="6">
        <v>535.29999999999995</v>
      </c>
      <c r="L63" s="6">
        <v>173.2</v>
      </c>
      <c r="M63" s="6">
        <v>20.2</v>
      </c>
      <c r="N63" s="6">
        <v>28.3</v>
      </c>
      <c r="O63" s="6">
        <v>72.2</v>
      </c>
      <c r="P63" s="6">
        <v>3859.5</v>
      </c>
      <c r="Q63" s="7">
        <f t="shared" si="0"/>
        <v>37756.577562111801</v>
      </c>
      <c r="R63" s="3">
        <f t="shared" si="1"/>
        <v>1504.2461180124224</v>
      </c>
    </row>
    <row r="64" spans="1:18" s="5" customFormat="1" ht="30">
      <c r="A64" s="5">
        <v>7339</v>
      </c>
      <c r="B64" s="5">
        <v>2011</v>
      </c>
      <c r="C64" s="6" t="s">
        <v>76</v>
      </c>
      <c r="D64" s="6" t="s">
        <v>82</v>
      </c>
      <c r="E64" s="6" t="s">
        <v>38</v>
      </c>
      <c r="F64" s="6">
        <v>5</v>
      </c>
      <c r="G64" s="6">
        <v>19.600000000000001</v>
      </c>
      <c r="H64" s="6">
        <v>35.1</v>
      </c>
      <c r="I64" s="6">
        <v>354.2</v>
      </c>
      <c r="J64" s="6">
        <v>108.7</v>
      </c>
      <c r="K64" s="6">
        <v>577.4</v>
      </c>
      <c r="L64" s="6">
        <v>147.69999999999999</v>
      </c>
      <c r="M64" s="6">
        <v>25.1</v>
      </c>
      <c r="N64" s="6">
        <v>27</v>
      </c>
      <c r="O64" s="6">
        <v>71.5</v>
      </c>
      <c r="P64" s="6">
        <v>4121.8</v>
      </c>
      <c r="Q64" s="7">
        <f t="shared" si="0"/>
        <v>78852.466118012409</v>
      </c>
      <c r="R64" s="3">
        <f t="shared" si="1"/>
        <v>2246.5090062111794</v>
      </c>
    </row>
    <row r="65" spans="1:18" s="5" customFormat="1" ht="30">
      <c r="A65" s="5">
        <v>7132</v>
      </c>
      <c r="B65" s="5">
        <v>2011</v>
      </c>
      <c r="C65" s="6" t="s">
        <v>76</v>
      </c>
      <c r="D65" s="6" t="s">
        <v>81</v>
      </c>
      <c r="E65" s="6" t="s">
        <v>38</v>
      </c>
      <c r="F65" s="6">
        <v>5</v>
      </c>
      <c r="G65" s="6">
        <v>7.9</v>
      </c>
      <c r="H65" s="6">
        <v>20</v>
      </c>
      <c r="I65" s="6">
        <v>368.9</v>
      </c>
      <c r="J65" s="6">
        <v>139.9</v>
      </c>
      <c r="K65" s="6">
        <v>486.4</v>
      </c>
      <c r="L65" s="6">
        <v>248.6</v>
      </c>
      <c r="M65" s="6">
        <v>20.2</v>
      </c>
      <c r="N65" s="6">
        <v>33.4</v>
      </c>
      <c r="O65" s="6">
        <v>71.599999999999994</v>
      </c>
      <c r="P65" s="6">
        <v>3476</v>
      </c>
      <c r="Q65" s="7">
        <f t="shared" si="0"/>
        <v>21590.062111801239</v>
      </c>
      <c r="R65" s="3">
        <f t="shared" si="1"/>
        <v>1079.503105590062</v>
      </c>
    </row>
    <row r="66" spans="1:18" s="5" customFormat="1" ht="30">
      <c r="A66" s="5">
        <v>7139</v>
      </c>
      <c r="B66" s="5">
        <v>2011</v>
      </c>
      <c r="C66" s="6" t="s">
        <v>76</v>
      </c>
      <c r="D66" s="6" t="s">
        <v>81</v>
      </c>
      <c r="E66" s="6" t="s">
        <v>38</v>
      </c>
      <c r="F66" s="6">
        <v>5</v>
      </c>
      <c r="G66" s="6">
        <v>17.7</v>
      </c>
      <c r="H66" s="6">
        <v>35.200000000000003</v>
      </c>
      <c r="I66" s="6">
        <v>401.1</v>
      </c>
      <c r="J66" s="6">
        <v>136.9</v>
      </c>
      <c r="K66" s="6">
        <v>587.29999999999995</v>
      </c>
      <c r="L66" s="6">
        <v>186</v>
      </c>
      <c r="M66" s="6">
        <v>28</v>
      </c>
      <c r="N66" s="6">
        <v>30</v>
      </c>
      <c r="O66" s="6">
        <v>71.400000000000006</v>
      </c>
      <c r="P66" s="6">
        <v>4185.7</v>
      </c>
      <c r="Q66" s="7">
        <f t="shared" si="0"/>
        <v>80531.828074534162</v>
      </c>
      <c r="R66" s="3">
        <f t="shared" si="1"/>
        <v>2287.8360248447202</v>
      </c>
    </row>
    <row r="67" spans="1:18" s="5" customFormat="1" ht="30">
      <c r="A67" s="5">
        <v>5821</v>
      </c>
      <c r="B67" s="5">
        <v>2006</v>
      </c>
      <c r="C67" s="6" t="s">
        <v>76</v>
      </c>
      <c r="D67" s="6" t="s">
        <v>81</v>
      </c>
      <c r="E67" s="6" t="s">
        <v>38</v>
      </c>
      <c r="F67" s="6">
        <v>5</v>
      </c>
      <c r="G67" s="6">
        <v>9.1999999999999993</v>
      </c>
      <c r="H67" s="6">
        <v>24.7</v>
      </c>
      <c r="I67" s="6">
        <v>420.8</v>
      </c>
      <c r="J67" s="6">
        <v>179.9</v>
      </c>
      <c r="K67" s="6">
        <v>492.2</v>
      </c>
      <c r="L67" s="6">
        <v>282.60000000000002</v>
      </c>
      <c r="M67" s="6">
        <v>26.5</v>
      </c>
      <c r="N67" s="6">
        <v>37.6</v>
      </c>
      <c r="O67" s="6">
        <v>71.3</v>
      </c>
      <c r="P67" s="6">
        <v>3502.4</v>
      </c>
      <c r="Q67" s="7">
        <f t="shared" si="0"/>
        <v>33179.801490683218</v>
      </c>
      <c r="R67" s="3">
        <f t="shared" si="1"/>
        <v>1343.3118012422356</v>
      </c>
    </row>
    <row r="68" spans="1:18" s="5" customFormat="1" ht="30">
      <c r="A68" s="5">
        <v>6728</v>
      </c>
      <c r="B68" s="5">
        <v>2010</v>
      </c>
      <c r="C68" s="6" t="s">
        <v>76</v>
      </c>
      <c r="D68" s="6" t="s">
        <v>82</v>
      </c>
      <c r="E68" s="6" t="s">
        <v>38</v>
      </c>
      <c r="F68" s="6">
        <v>5</v>
      </c>
      <c r="G68" s="6">
        <v>14.8</v>
      </c>
      <c r="H68" s="6">
        <v>35</v>
      </c>
      <c r="I68" s="6">
        <v>473.1</v>
      </c>
      <c r="J68" s="6">
        <v>192.2</v>
      </c>
      <c r="K68" s="6">
        <v>582.29999999999995</v>
      </c>
      <c r="L68" s="6">
        <v>261.60000000000002</v>
      </c>
      <c r="M68" s="6">
        <v>33.200000000000003</v>
      </c>
      <c r="N68" s="6">
        <v>35.799999999999997</v>
      </c>
      <c r="O68" s="6">
        <v>71.7</v>
      </c>
      <c r="P68" s="6">
        <v>4163.7</v>
      </c>
      <c r="Q68" s="7">
        <f t="shared" si="0"/>
        <v>79200.815217391297</v>
      </c>
      <c r="R68" s="3">
        <f t="shared" si="1"/>
        <v>2262.8804347826085</v>
      </c>
    </row>
    <row r="70" spans="1:18">
      <c r="B70" t="s">
        <v>39</v>
      </c>
      <c r="C70" s="6" t="s">
        <v>39</v>
      </c>
      <c r="D70" s="6" t="s">
        <v>39</v>
      </c>
      <c r="E70" s="6" t="s">
        <v>39</v>
      </c>
      <c r="F70" s="6" t="s">
        <v>39</v>
      </c>
      <c r="G70" s="6" t="s">
        <v>39</v>
      </c>
      <c r="H70" s="6" t="s">
        <v>40</v>
      </c>
      <c r="I70" s="6">
        <v>356.7</v>
      </c>
      <c r="J70" s="6">
        <v>121.7</v>
      </c>
      <c r="K70" s="6">
        <v>538.20000000000005</v>
      </c>
      <c r="L70" s="6">
        <v>178.7</v>
      </c>
      <c r="M70" s="6">
        <v>24.3</v>
      </c>
      <c r="Q70" s="7">
        <f>AVERAGE(Q60:Q68)</f>
        <v>60750.090257073833</v>
      </c>
      <c r="R70" s="2">
        <f>AVERAGE(R60:R68)</f>
        <v>1875.4772429261559</v>
      </c>
    </row>
    <row r="71" spans="1:18">
      <c r="B71" t="s">
        <v>39</v>
      </c>
      <c r="C71" s="6" t="s">
        <v>39</v>
      </c>
      <c r="D71" s="6" t="s">
        <v>39</v>
      </c>
      <c r="E71" s="6" t="s">
        <v>39</v>
      </c>
      <c r="F71" s="6" t="s">
        <v>39</v>
      </c>
      <c r="G71" s="6" t="s">
        <v>39</v>
      </c>
      <c r="H71" s="6" t="s">
        <v>41</v>
      </c>
      <c r="I71" s="6">
        <v>268.89999999999998</v>
      </c>
      <c r="J71" s="6">
        <v>68.900000000000006</v>
      </c>
      <c r="K71" s="6">
        <v>486.4</v>
      </c>
      <c r="L71" s="6">
        <v>93.8</v>
      </c>
      <c r="M71" s="6">
        <v>20.2</v>
      </c>
      <c r="R71"/>
    </row>
    <row r="72" spans="1:18">
      <c r="B72" t="s">
        <v>39</v>
      </c>
      <c r="C72" s="6" t="s">
        <v>39</v>
      </c>
      <c r="D72" s="6" t="s">
        <v>39</v>
      </c>
      <c r="E72" s="6" t="s">
        <v>39</v>
      </c>
      <c r="F72" s="6" t="s">
        <v>39</v>
      </c>
      <c r="G72" s="6" t="s">
        <v>39</v>
      </c>
      <c r="H72" s="6" t="s">
        <v>42</v>
      </c>
      <c r="I72" s="6">
        <v>473.1</v>
      </c>
      <c r="J72" s="6">
        <v>192.2</v>
      </c>
      <c r="K72" s="6">
        <v>587.29999999999995</v>
      </c>
      <c r="L72" s="6">
        <v>282.60000000000002</v>
      </c>
      <c r="M72" s="6">
        <v>33.200000000000003</v>
      </c>
      <c r="R72"/>
    </row>
    <row r="73" spans="1:18" ht="30">
      <c r="B73" t="s">
        <v>39</v>
      </c>
      <c r="C73" s="6" t="s">
        <v>39</v>
      </c>
      <c r="D73" s="6" t="s">
        <v>39</v>
      </c>
      <c r="E73" s="6" t="s">
        <v>39</v>
      </c>
      <c r="F73" s="6" t="s">
        <v>39</v>
      </c>
      <c r="G73" s="6" t="s">
        <v>39</v>
      </c>
      <c r="H73" s="6" t="s">
        <v>43</v>
      </c>
      <c r="I73" s="6">
        <v>68</v>
      </c>
      <c r="J73" s="6">
        <v>44.2</v>
      </c>
      <c r="K73" s="6">
        <v>38.5</v>
      </c>
      <c r="L73" s="6">
        <v>71.5</v>
      </c>
      <c r="M73" s="6">
        <v>4.3</v>
      </c>
      <c r="R73"/>
    </row>
    <row r="74" spans="1:18" ht="30">
      <c r="B74" t="s">
        <v>39</v>
      </c>
      <c r="C74" s="6" t="s">
        <v>39</v>
      </c>
      <c r="D74" s="6" t="s">
        <v>39</v>
      </c>
      <c r="E74" s="6" t="s">
        <v>39</v>
      </c>
      <c r="F74" s="6" t="s">
        <v>39</v>
      </c>
      <c r="G74" s="6" t="s">
        <v>44</v>
      </c>
      <c r="H74" s="6">
        <v>9</v>
      </c>
      <c r="R74"/>
    </row>
    <row r="77" spans="1:18">
      <c r="A77" t="s">
        <v>72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>
      <c r="A78" t="s">
        <v>68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>
      <c r="A79" t="s">
        <v>83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>
      <c r="A80" t="s">
        <v>84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>
      <c r="A81" t="s">
        <v>85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6" customFormat="1" ht="45">
      <c r="A82" s="6" t="s">
        <v>21</v>
      </c>
      <c r="B82" s="6" t="s">
        <v>22</v>
      </c>
      <c r="C82" s="6" t="s">
        <v>23</v>
      </c>
      <c r="D82" s="6" t="s">
        <v>24</v>
      </c>
      <c r="E82" s="6" t="s">
        <v>25</v>
      </c>
      <c r="F82" s="6" t="s">
        <v>26</v>
      </c>
      <c r="G82" s="6" t="s">
        <v>27</v>
      </c>
      <c r="H82" s="6" t="s">
        <v>28</v>
      </c>
      <c r="I82" s="6" t="s">
        <v>29</v>
      </c>
      <c r="J82" s="6" t="s">
        <v>30</v>
      </c>
      <c r="K82" s="6" t="s">
        <v>31</v>
      </c>
      <c r="L82" s="6" t="s">
        <v>32</v>
      </c>
      <c r="M82" s="6" t="s">
        <v>11</v>
      </c>
      <c r="N82" s="6" t="s">
        <v>33</v>
      </c>
      <c r="O82" s="6" t="s">
        <v>34</v>
      </c>
      <c r="P82" s="6" t="s">
        <v>35</v>
      </c>
      <c r="Q82" s="6" t="s">
        <v>65</v>
      </c>
      <c r="R82" s="6" t="s">
        <v>66</v>
      </c>
    </row>
    <row r="83" spans="1:18" s="6" customFormat="1" ht="30">
      <c r="A83" s="6">
        <v>599</v>
      </c>
      <c r="B83" s="6">
        <v>1983</v>
      </c>
      <c r="C83" s="6" t="s">
        <v>86</v>
      </c>
      <c r="D83" s="6">
        <v>626</v>
      </c>
      <c r="E83" s="6" t="s">
        <v>38</v>
      </c>
      <c r="F83" s="6">
        <v>5</v>
      </c>
      <c r="G83" s="6">
        <v>24.4</v>
      </c>
      <c r="H83" s="6">
        <v>35.299999999999997</v>
      </c>
      <c r="I83" s="6">
        <v>216.8</v>
      </c>
      <c r="J83" s="6">
        <v>53.8</v>
      </c>
      <c r="K83" s="6">
        <v>436.8</v>
      </c>
      <c r="L83" s="6">
        <v>73</v>
      </c>
      <c r="M83" s="6">
        <v>20.399999999999999</v>
      </c>
      <c r="N83" s="6">
        <v>21.8</v>
      </c>
      <c r="O83" s="6">
        <v>66.5</v>
      </c>
      <c r="P83" s="6">
        <v>2898.5</v>
      </c>
      <c r="Q83" s="7">
        <f>0.5*H83^2*P83/32.2</f>
        <v>56083.724611801226</v>
      </c>
      <c r="R83" s="7">
        <f>Q83/H83</f>
        <v>1588.7740683229811</v>
      </c>
    </row>
    <row r="84" spans="1:18" s="6" customFormat="1" ht="30">
      <c r="A84" s="6">
        <v>1055</v>
      </c>
      <c r="B84" s="6">
        <v>1987</v>
      </c>
      <c r="C84" s="6" t="s">
        <v>86</v>
      </c>
      <c r="D84" s="6">
        <v>626</v>
      </c>
      <c r="E84" s="6" t="s">
        <v>38</v>
      </c>
      <c r="F84" s="6">
        <v>5</v>
      </c>
      <c r="G84" s="6">
        <v>20.3</v>
      </c>
      <c r="H84" s="6">
        <v>29.5</v>
      </c>
      <c r="I84" s="6">
        <v>217.2</v>
      </c>
      <c r="J84" s="6">
        <v>52.4</v>
      </c>
      <c r="K84" s="6">
        <v>450.5</v>
      </c>
      <c r="L84" s="6">
        <v>75.900000000000006</v>
      </c>
      <c r="M84" s="6">
        <v>17.100000000000001</v>
      </c>
      <c r="N84" s="6">
        <v>21.2</v>
      </c>
      <c r="O84" s="6">
        <v>66.2</v>
      </c>
      <c r="P84" s="6">
        <v>2975.6</v>
      </c>
      <c r="Q84" s="7">
        <f>0.5*H84^2*P84/32.2</f>
        <v>40209.874223602477</v>
      </c>
      <c r="R84" s="7">
        <f>Q84/H84</f>
        <v>1363.0465838509315</v>
      </c>
    </row>
    <row r="85" spans="1:18" s="6" customFormat="1" ht="30">
      <c r="A85" s="6">
        <v>118</v>
      </c>
      <c r="B85" s="6">
        <v>1980</v>
      </c>
      <c r="C85" s="6" t="s">
        <v>86</v>
      </c>
      <c r="D85" s="6">
        <v>626</v>
      </c>
      <c r="E85" s="6" t="s">
        <v>87</v>
      </c>
      <c r="F85" s="6">
        <v>5</v>
      </c>
      <c r="G85" s="6">
        <v>22.5</v>
      </c>
      <c r="H85" s="6">
        <v>35.200000000000003</v>
      </c>
      <c r="I85" s="6">
        <v>253</v>
      </c>
      <c r="J85" s="6">
        <v>67.7</v>
      </c>
      <c r="K85" s="6">
        <v>472.7</v>
      </c>
      <c r="L85" s="6">
        <v>92</v>
      </c>
      <c r="M85" s="6">
        <v>21.9</v>
      </c>
      <c r="N85" s="6">
        <v>23.5</v>
      </c>
      <c r="O85" s="6">
        <v>65</v>
      </c>
      <c r="P85" s="6">
        <v>3066</v>
      </c>
      <c r="Q85" s="7">
        <f t="shared" ref="Q85:Q88" si="2">0.5*H85^2*P85/32.2</f>
        <v>58989.078260869566</v>
      </c>
      <c r="R85" s="7">
        <f t="shared" ref="R85:R88" si="3">Q85/H85</f>
        <v>1675.8260869565215</v>
      </c>
    </row>
    <row r="86" spans="1:18" s="6" customFormat="1" ht="30">
      <c r="A86" s="6">
        <v>1015</v>
      </c>
      <c r="B86" s="6">
        <v>1987</v>
      </c>
      <c r="C86" s="6" t="s">
        <v>86</v>
      </c>
      <c r="D86" s="6">
        <v>626</v>
      </c>
      <c r="E86" s="6" t="s">
        <v>38</v>
      </c>
      <c r="F86" s="6">
        <v>5</v>
      </c>
      <c r="G86" s="6">
        <v>24</v>
      </c>
      <c r="H86" s="6">
        <v>35</v>
      </c>
      <c r="I86" s="6">
        <v>262.60000000000002</v>
      </c>
      <c r="J86" s="6">
        <v>65.599999999999994</v>
      </c>
      <c r="K86" s="6">
        <v>525.9</v>
      </c>
      <c r="L86" s="6">
        <v>89.3</v>
      </c>
      <c r="M86" s="6">
        <v>20.399999999999999</v>
      </c>
      <c r="N86" s="6">
        <v>22</v>
      </c>
      <c r="O86" s="6">
        <v>57.9</v>
      </c>
      <c r="P86" s="6">
        <v>3039.5</v>
      </c>
      <c r="Q86" s="7">
        <f t="shared" si="2"/>
        <v>57816.57608695652</v>
      </c>
      <c r="R86" s="7">
        <f t="shared" si="3"/>
        <v>1651.9021739130435</v>
      </c>
    </row>
    <row r="87" spans="1:18" s="6" customFormat="1" ht="30">
      <c r="A87" s="6">
        <v>1742</v>
      </c>
      <c r="B87" s="6">
        <v>1993</v>
      </c>
      <c r="C87" s="6" t="s">
        <v>86</v>
      </c>
      <c r="D87" s="6">
        <v>626</v>
      </c>
      <c r="E87" s="6" t="s">
        <v>38</v>
      </c>
      <c r="F87" s="6">
        <v>5</v>
      </c>
      <c r="G87" s="6">
        <v>20</v>
      </c>
      <c r="H87" s="6">
        <v>35</v>
      </c>
      <c r="I87" s="6">
        <v>276.5</v>
      </c>
      <c r="J87" s="6">
        <v>82.9</v>
      </c>
      <c r="K87" s="6">
        <v>461.2</v>
      </c>
      <c r="L87" s="6">
        <v>112.8</v>
      </c>
      <c r="M87" s="6">
        <v>24.5</v>
      </c>
      <c r="N87" s="6">
        <v>26.4</v>
      </c>
      <c r="O87" s="6">
        <v>69</v>
      </c>
      <c r="P87" s="6">
        <v>3176.2</v>
      </c>
      <c r="Q87" s="7">
        <f t="shared" si="2"/>
        <v>60416.847826086952</v>
      </c>
      <c r="R87" s="7">
        <f t="shared" si="3"/>
        <v>1726.195652173913</v>
      </c>
    </row>
    <row r="88" spans="1:18" s="6" customFormat="1" ht="30">
      <c r="A88" s="6">
        <v>2866</v>
      </c>
      <c r="B88" s="6">
        <v>1998</v>
      </c>
      <c r="C88" s="6" t="s">
        <v>86</v>
      </c>
      <c r="D88" s="6">
        <v>626</v>
      </c>
      <c r="E88" s="6" t="s">
        <v>38</v>
      </c>
      <c r="F88" s="6">
        <v>5</v>
      </c>
      <c r="G88" s="6">
        <v>11.4</v>
      </c>
      <c r="H88" s="6">
        <v>29.6</v>
      </c>
      <c r="I88" s="6">
        <v>496.7</v>
      </c>
      <c r="J88" s="6">
        <v>213.5</v>
      </c>
      <c r="K88" s="6">
        <v>577.79999999999995</v>
      </c>
      <c r="L88" s="6">
        <v>309.2</v>
      </c>
      <c r="M88" s="6">
        <v>30.6</v>
      </c>
      <c r="N88" s="6">
        <v>37.799999999999997</v>
      </c>
      <c r="O88" s="6">
        <v>55.1</v>
      </c>
      <c r="P88" s="6">
        <v>3178.4</v>
      </c>
      <c r="Q88" s="7">
        <f t="shared" si="2"/>
        <v>43242.033291925465</v>
      </c>
      <c r="R88" s="7">
        <f t="shared" si="3"/>
        <v>1460.8795031055899</v>
      </c>
    </row>
    <row r="89" spans="1:18" s="6" customFormat="1"/>
    <row r="90" spans="1:18" s="6" customFormat="1">
      <c r="B90" s="6" t="s">
        <v>39</v>
      </c>
      <c r="C90" s="6" t="s">
        <v>39</v>
      </c>
      <c r="D90" s="6" t="s">
        <v>39</v>
      </c>
      <c r="E90" s="6" t="s">
        <v>39</v>
      </c>
      <c r="F90" s="6" t="s">
        <v>39</v>
      </c>
      <c r="G90" s="6" t="s">
        <v>39</v>
      </c>
      <c r="H90" s="6" t="s">
        <v>40</v>
      </c>
      <c r="I90" s="6">
        <v>287.10000000000002</v>
      </c>
      <c r="J90" s="6">
        <v>89.3</v>
      </c>
      <c r="K90" s="6">
        <v>487.5</v>
      </c>
      <c r="L90" s="6">
        <v>125.4</v>
      </c>
      <c r="M90" s="6">
        <v>22.5</v>
      </c>
      <c r="Q90" s="7">
        <f>AVERAGE(Q83:Q88)</f>
        <v>52793.022383540367</v>
      </c>
      <c r="R90" s="7">
        <f>AVERAGE(R83:R88)</f>
        <v>1577.7706780538301</v>
      </c>
    </row>
    <row r="91" spans="1:18" s="6" customFormat="1">
      <c r="B91" s="6" t="s">
        <v>39</v>
      </c>
      <c r="C91" s="6" t="s">
        <v>39</v>
      </c>
      <c r="D91" s="6" t="s">
        <v>39</v>
      </c>
      <c r="E91" s="6" t="s">
        <v>39</v>
      </c>
      <c r="F91" s="6" t="s">
        <v>39</v>
      </c>
      <c r="G91" s="6" t="s">
        <v>39</v>
      </c>
      <c r="H91" s="6" t="s">
        <v>41</v>
      </c>
      <c r="I91" s="6">
        <v>216.8</v>
      </c>
      <c r="J91" s="6">
        <v>52.4</v>
      </c>
      <c r="K91" s="6">
        <v>436.8</v>
      </c>
      <c r="L91" s="6">
        <v>73</v>
      </c>
      <c r="M91" s="6">
        <v>17.100000000000001</v>
      </c>
    </row>
    <row r="92" spans="1:18" s="6" customFormat="1">
      <c r="B92" s="6" t="s">
        <v>39</v>
      </c>
      <c r="C92" s="6" t="s">
        <v>39</v>
      </c>
      <c r="D92" s="6" t="s">
        <v>39</v>
      </c>
      <c r="E92" s="6" t="s">
        <v>39</v>
      </c>
      <c r="F92" s="6" t="s">
        <v>39</v>
      </c>
      <c r="G92" s="6" t="s">
        <v>39</v>
      </c>
      <c r="H92" s="6" t="s">
        <v>42</v>
      </c>
      <c r="I92" s="6">
        <v>496.7</v>
      </c>
      <c r="J92" s="6">
        <v>213.5</v>
      </c>
      <c r="K92" s="6">
        <v>577.79999999999995</v>
      </c>
      <c r="L92" s="6">
        <v>309.2</v>
      </c>
      <c r="M92" s="6">
        <v>30.6</v>
      </c>
    </row>
    <row r="93" spans="1:18" s="6" customFormat="1" ht="30">
      <c r="B93" s="6" t="s">
        <v>39</v>
      </c>
      <c r="C93" s="6" t="s">
        <v>39</v>
      </c>
      <c r="D93" s="6" t="s">
        <v>39</v>
      </c>
      <c r="E93" s="6" t="s">
        <v>39</v>
      </c>
      <c r="F93" s="6" t="s">
        <v>39</v>
      </c>
      <c r="G93" s="6" t="s">
        <v>39</v>
      </c>
      <c r="H93" s="6" t="s">
        <v>43</v>
      </c>
      <c r="I93" s="6">
        <v>105.5</v>
      </c>
      <c r="J93" s="6">
        <v>61.8</v>
      </c>
      <c r="K93" s="6">
        <v>53.8</v>
      </c>
      <c r="L93" s="6">
        <v>91.2</v>
      </c>
      <c r="M93" s="6">
        <v>4.5999999999999996</v>
      </c>
    </row>
    <row r="94" spans="1:18" s="6" customFormat="1" ht="30">
      <c r="B94" s="6" t="s">
        <v>39</v>
      </c>
      <c r="C94" s="6" t="s">
        <v>39</v>
      </c>
      <c r="D94" s="6" t="s">
        <v>39</v>
      </c>
      <c r="E94" s="6" t="s">
        <v>39</v>
      </c>
      <c r="F94" s="6" t="s">
        <v>39</v>
      </c>
      <c r="G94" s="6" t="s">
        <v>44</v>
      </c>
      <c r="H94" s="6">
        <v>6</v>
      </c>
    </row>
  </sheetData>
  <printOptions horizontalCentered="1"/>
  <pageMargins left="0.25" right="0.25" top="0.25" bottom="0.25" header="0" footer="0"/>
  <pageSetup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workbookViewId="0">
      <selection activeCell="B1" sqref="B1:L28"/>
    </sheetView>
  </sheetViews>
  <sheetFormatPr defaultRowHeight="15"/>
  <cols>
    <col min="3" max="3" width="20.85546875" bestFit="1" customWidth="1"/>
    <col min="4" max="4" width="9.140625" style="4"/>
    <col min="5" max="5" width="12.7109375" style="4" customWidth="1"/>
    <col min="6" max="6" width="9.140625" style="4"/>
    <col min="7" max="7" width="12.7109375" style="4" customWidth="1"/>
    <col min="8" max="8" width="10" style="4" bestFit="1" customWidth="1"/>
    <col min="9" max="9" width="12.7109375" style="4" customWidth="1"/>
    <col min="10" max="10" width="9.140625" style="4"/>
    <col min="11" max="11" width="12.7109375" style="4" customWidth="1"/>
    <col min="12" max="19" width="9.140625" style="4"/>
    <col min="20" max="20" width="10.5703125" style="4" bestFit="1" customWidth="1"/>
    <col min="21" max="21" width="9.140625" style="4"/>
    <col min="23" max="23" width="20.85546875" style="15" bestFit="1" customWidth="1"/>
  </cols>
  <sheetData>
    <row r="1" spans="1:12" ht="26.25">
      <c r="B1" s="18" t="s">
        <v>96</v>
      </c>
    </row>
    <row r="2" spans="1:12" ht="26.25">
      <c r="B2" s="18" t="s">
        <v>97</v>
      </c>
    </row>
    <row r="3" spans="1:12" ht="26.25">
      <c r="B3" s="18"/>
    </row>
    <row r="4" spans="1:12" ht="26.25">
      <c r="B4" s="18"/>
    </row>
    <row r="5" spans="1:12">
      <c r="C5" s="15"/>
      <c r="K5" s="4" t="s">
        <v>20</v>
      </c>
      <c r="L5" s="4" t="s">
        <v>123</v>
      </c>
    </row>
    <row r="6" spans="1:12" ht="30">
      <c r="B6" s="6"/>
      <c r="C6" s="16"/>
      <c r="D6" s="6" t="s">
        <v>64</v>
      </c>
      <c r="E6" s="6" t="s">
        <v>34</v>
      </c>
      <c r="F6" s="6" t="s">
        <v>88</v>
      </c>
      <c r="G6" s="6" t="s">
        <v>89</v>
      </c>
      <c r="H6" s="6" t="s">
        <v>92</v>
      </c>
      <c r="I6" s="6" t="s">
        <v>30</v>
      </c>
      <c r="J6" s="6" t="s">
        <v>31</v>
      </c>
      <c r="K6" s="6" t="s">
        <v>93</v>
      </c>
      <c r="L6" s="6" t="s">
        <v>94</v>
      </c>
    </row>
    <row r="7" spans="1:12">
      <c r="B7" s="5" t="s">
        <v>62</v>
      </c>
      <c r="C7" s="17" t="s">
        <v>98</v>
      </c>
      <c r="D7" s="5">
        <v>4296</v>
      </c>
      <c r="E7" s="5">
        <v>65</v>
      </c>
      <c r="F7" s="5">
        <v>15</v>
      </c>
      <c r="G7" s="5">
        <v>23</v>
      </c>
      <c r="H7" s="8">
        <v>348.4</v>
      </c>
      <c r="I7" s="8">
        <v>116.2</v>
      </c>
      <c r="J7" s="8">
        <f>(H7*H7)/(2*I7)</f>
        <v>522.30017211703955</v>
      </c>
      <c r="K7" s="8">
        <f>(H7*F7+I7*F7*F7/2+J7)*E7</f>
        <v>1223352.0111876077</v>
      </c>
      <c r="L7" s="5">
        <v>2748.59</v>
      </c>
    </row>
    <row r="8" spans="1:12">
      <c r="B8" s="5"/>
      <c r="C8" s="17"/>
      <c r="D8" s="5"/>
      <c r="E8" s="5"/>
      <c r="F8" s="5"/>
      <c r="G8" s="5"/>
      <c r="H8" s="5"/>
      <c r="I8" s="5"/>
      <c r="J8" s="5"/>
      <c r="K8" s="8"/>
      <c r="L8" s="5"/>
    </row>
    <row r="9" spans="1:12">
      <c r="B9" s="5" t="s">
        <v>63</v>
      </c>
      <c r="C9" s="17" t="s">
        <v>99</v>
      </c>
      <c r="D9" s="5">
        <v>3950</v>
      </c>
      <c r="E9" s="5">
        <v>84</v>
      </c>
      <c r="F9" s="5">
        <v>8.0399999999999991</v>
      </c>
      <c r="G9" s="5">
        <v>13</v>
      </c>
      <c r="H9" s="5">
        <v>249.8</v>
      </c>
      <c r="I9" s="5">
        <v>355.9</v>
      </c>
      <c r="J9" s="5">
        <v>97.1</v>
      </c>
      <c r="K9" s="8">
        <f>(H9*F9+I9*F9*F9/2+J9)*E9</f>
        <v>1143111.0364799998</v>
      </c>
      <c r="L9" s="5">
        <v>1469.39</v>
      </c>
    </row>
    <row r="10" spans="1:12">
      <c r="A10" s="4"/>
      <c r="B10" s="4"/>
      <c r="C10" s="4"/>
      <c r="J10"/>
      <c r="K10" s="15"/>
    </row>
    <row r="11" spans="1:12" ht="26.25">
      <c r="B11" s="18"/>
    </row>
    <row r="12" spans="1:12" ht="26.25">
      <c r="B12" s="18"/>
    </row>
    <row r="15" spans="1:12">
      <c r="D15" s="20" t="s">
        <v>16</v>
      </c>
      <c r="E15" s="20"/>
      <c r="F15" s="20" t="s">
        <v>11</v>
      </c>
      <c r="G15" s="20"/>
      <c r="H15" s="20" t="s">
        <v>1</v>
      </c>
      <c r="I15" s="20"/>
      <c r="J15" s="20" t="s">
        <v>20</v>
      </c>
      <c r="K15" s="20"/>
    </row>
    <row r="16" spans="1:12">
      <c r="D16" s="20" t="s">
        <v>91</v>
      </c>
      <c r="E16" s="20"/>
      <c r="F16" s="20" t="s">
        <v>91</v>
      </c>
      <c r="G16" s="20"/>
      <c r="H16" s="20" t="s">
        <v>91</v>
      </c>
      <c r="I16" s="20"/>
      <c r="J16" s="20" t="s">
        <v>91</v>
      </c>
      <c r="K16" s="20"/>
    </row>
    <row r="17" spans="2:11" s="6" customFormat="1">
      <c r="D17" s="6" t="s">
        <v>90</v>
      </c>
      <c r="E17" s="6" t="s">
        <v>95</v>
      </c>
      <c r="F17" s="6" t="s">
        <v>90</v>
      </c>
      <c r="G17" s="6" t="s">
        <v>95</v>
      </c>
      <c r="H17" s="6" t="s">
        <v>90</v>
      </c>
      <c r="I17" s="6" t="s">
        <v>95</v>
      </c>
      <c r="J17" s="6" t="s">
        <v>90</v>
      </c>
      <c r="K17" s="6" t="s">
        <v>95</v>
      </c>
    </row>
    <row r="18" spans="2:11" s="5" customFormat="1" ht="18.75">
      <c r="B18" s="5" t="str">
        <f>B7</f>
        <v>Bullet</v>
      </c>
      <c r="C18" s="5" t="str">
        <f t="shared" ref="C18:C20" si="0">C7</f>
        <v>2013 Ford Taurus AWD</v>
      </c>
      <c r="D18" s="8">
        <f>E18*528/360</f>
        <v>37.106666666666669</v>
      </c>
      <c r="E18" s="9">
        <f>1.1*G7</f>
        <v>25.3</v>
      </c>
      <c r="F18" s="8">
        <f>G18*528/360</f>
        <v>50.965347704755892</v>
      </c>
      <c r="G18" s="9">
        <f>SQRT(30*21*G7/12)</f>
        <v>34.749100707788109</v>
      </c>
      <c r="H18" s="10">
        <f>SQRT(2*L7*F7/(D7/32.2))</f>
        <v>24.860588663888954</v>
      </c>
      <c r="I18" s="9">
        <f>H18*360/528</f>
        <v>16.950401361742468</v>
      </c>
      <c r="J18" s="8">
        <f>K18*528/360</f>
        <v>39.092720500097371</v>
      </c>
      <c r="K18" s="9">
        <f>(360/528) * SQRT((((2*K7)/12)*32.2)/(D7))</f>
        <v>26.654127613702755</v>
      </c>
    </row>
    <row r="19" spans="2:11" s="5" customFormat="1">
      <c r="D19" s="8"/>
      <c r="E19" s="8"/>
      <c r="F19" s="8"/>
      <c r="G19" s="8"/>
      <c r="H19" s="8"/>
      <c r="I19" s="8"/>
      <c r="J19" s="8"/>
      <c r="K19" s="8"/>
    </row>
    <row r="20" spans="2:11" s="5" customFormat="1" ht="18.75">
      <c r="B20" s="5" t="str">
        <f t="shared" ref="B20" si="1">B9</f>
        <v>Target</v>
      </c>
      <c r="C20" s="5" t="str">
        <f t="shared" si="0"/>
        <v>2015 Dodge Charger</v>
      </c>
      <c r="D20" s="8">
        <f>E20*528/360</f>
        <v>20.973333333333336</v>
      </c>
      <c r="E20" s="9">
        <f>1.1*G9</f>
        <v>14.3</v>
      </c>
      <c r="F20" s="8">
        <f>G20*528/360</f>
        <v>38.316228067665186</v>
      </c>
      <c r="G20" s="9">
        <f>SQRT(30*21*G9/12)</f>
        <v>26.124700955226263</v>
      </c>
      <c r="H20" s="10">
        <f>SQRT(2*L9*F9/(D9/32.2))</f>
        <v>13.878449523440418</v>
      </c>
      <c r="I20" s="9">
        <f>H20*360/528</f>
        <v>9.462579220527557</v>
      </c>
      <c r="J20" s="8">
        <f>K20*528/360</f>
        <v>39.409232021835763</v>
      </c>
      <c r="K20" s="9">
        <f>(360/528) * SQRT((((2*K9)/12)*32.2)/(D9))</f>
        <v>26.869930923978931</v>
      </c>
    </row>
    <row r="22" spans="2:11" ht="26.25">
      <c r="B22" t="s">
        <v>100</v>
      </c>
      <c r="E22" s="13">
        <f>(E18^2+E20^2)^0.5</f>
        <v>29.061658589970396</v>
      </c>
      <c r="G22" s="13">
        <f>(G18^2+G20^2)^0.5</f>
        <v>43.474130238568314</v>
      </c>
      <c r="I22" s="13">
        <f>(I18^2+I20^2)^0.5</f>
        <v>19.412792478902173</v>
      </c>
      <c r="K22" s="13">
        <f>(K18^2+K20^2)^0.5</f>
        <v>37.847532372757819</v>
      </c>
    </row>
    <row r="24" spans="2:11" ht="26.25">
      <c r="B24" t="s">
        <v>105</v>
      </c>
      <c r="E24" s="12" t="s">
        <v>113</v>
      </c>
      <c r="G24" s="12" t="str">
        <f>E24</f>
        <v>~47</v>
      </c>
      <c r="I24" s="12" t="str">
        <f>G24</f>
        <v>~47</v>
      </c>
      <c r="K24" s="12" t="str">
        <f>I24</f>
        <v>~47</v>
      </c>
    </row>
    <row r="25" spans="2:11">
      <c r="B25" t="s">
        <v>107</v>
      </c>
      <c r="E25" s="11" t="s">
        <v>114</v>
      </c>
      <c r="G25" s="14" t="str">
        <f>E25</f>
        <v>22-23</v>
      </c>
      <c r="H25" s="14"/>
      <c r="I25" s="14" t="str">
        <f>G25</f>
        <v>22-23</v>
      </c>
      <c r="J25" s="14"/>
      <c r="K25" s="14" t="str">
        <f>I25</f>
        <v>22-23</v>
      </c>
    </row>
    <row r="26" spans="2:11">
      <c r="B26" t="s">
        <v>106</v>
      </c>
      <c r="E26" s="4" t="s">
        <v>115</v>
      </c>
      <c r="G26" s="14" t="str">
        <f>E26</f>
        <v>~26-27</v>
      </c>
      <c r="H26" s="14"/>
      <c r="I26" s="14" t="str">
        <f>G26</f>
        <v>~26-27</v>
      </c>
      <c r="J26" s="14"/>
      <c r="K26" s="14" t="str">
        <f>I26</f>
        <v>~26-27</v>
      </c>
    </row>
    <row r="28" spans="2:11" ht="26.25">
      <c r="B28" t="s">
        <v>117</v>
      </c>
      <c r="E28" s="13">
        <f>SQRT(E22^2+24^2+26^2)</f>
        <v>45.788426485303027</v>
      </c>
      <c r="G28" s="13">
        <f>SQRT(G22^2+24^2+26^2)</f>
        <v>56.053545828966072</v>
      </c>
      <c r="I28" s="13">
        <f>SQRT(I22^2+24^2+26^2)</f>
        <v>40.359094536782173</v>
      </c>
      <c r="K28" s="13">
        <f>SQRT(K22^2+24^2+26^2)</f>
        <v>51.811540285026766</v>
      </c>
    </row>
  </sheetData>
  <mergeCells count="8">
    <mergeCell ref="J15:K15"/>
    <mergeCell ref="J16:K16"/>
    <mergeCell ref="D16:E16"/>
    <mergeCell ref="D15:E15"/>
    <mergeCell ref="F15:G15"/>
    <mergeCell ref="F16:G16"/>
    <mergeCell ref="H15:I15"/>
    <mergeCell ref="H16:I16"/>
  </mergeCells>
  <printOptions horizontalCentered="1" verticalCentered="1"/>
  <pageMargins left="0.25" right="0.25" top="0.25" bottom="0.25" header="0" footer="0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28"/>
  <sheetViews>
    <sheetView workbookViewId="0">
      <selection activeCell="M20" sqref="M20"/>
    </sheetView>
  </sheetViews>
  <sheetFormatPr defaultRowHeight="15"/>
  <cols>
    <col min="3" max="3" width="18.7109375" bestFit="1" customWidth="1"/>
    <col min="4" max="4" width="9.140625" style="4"/>
    <col min="5" max="5" width="12.7109375" style="4" customWidth="1"/>
    <col min="6" max="6" width="9.140625" style="4"/>
    <col min="7" max="7" width="12.7109375" style="4" customWidth="1"/>
    <col min="8" max="8" width="9.5703125" style="4" customWidth="1"/>
    <col min="9" max="9" width="12.7109375" style="4" customWidth="1"/>
    <col min="10" max="10" width="9.140625" style="4"/>
    <col min="11" max="11" width="12.7109375" style="4" customWidth="1"/>
    <col min="12" max="19" width="9.140625" style="4"/>
    <col min="20" max="20" width="9.5703125" style="4" bestFit="1" customWidth="1"/>
    <col min="21" max="21" width="9.140625" style="4"/>
    <col min="23" max="23" width="18.7109375" style="15" bestFit="1" customWidth="1"/>
  </cols>
  <sheetData>
    <row r="1" spans="2:12" ht="23.25">
      <c r="B1" s="19" t="s">
        <v>96</v>
      </c>
    </row>
    <row r="2" spans="2:12" ht="23.25">
      <c r="B2" s="19" t="s">
        <v>109</v>
      </c>
    </row>
    <row r="5" spans="2:12">
      <c r="C5" s="15"/>
      <c r="K5" s="4" t="s">
        <v>20</v>
      </c>
      <c r="L5" s="4" t="s">
        <v>123</v>
      </c>
    </row>
    <row r="6" spans="2:12" ht="30">
      <c r="B6" s="6"/>
      <c r="C6" s="16"/>
      <c r="D6" s="6" t="s">
        <v>64</v>
      </c>
      <c r="E6" s="6" t="s">
        <v>34</v>
      </c>
      <c r="F6" s="6" t="s">
        <v>88</v>
      </c>
      <c r="G6" s="6" t="s">
        <v>89</v>
      </c>
      <c r="H6" s="6" t="s">
        <v>92</v>
      </c>
      <c r="I6" s="6" t="s">
        <v>30</v>
      </c>
      <c r="J6" s="6" t="s">
        <v>31</v>
      </c>
      <c r="K6" s="6" t="s">
        <v>93</v>
      </c>
      <c r="L6" s="6" t="s">
        <v>94</v>
      </c>
    </row>
    <row r="7" spans="2:12">
      <c r="B7" s="5" t="s">
        <v>62</v>
      </c>
      <c r="C7" s="17" t="s">
        <v>112</v>
      </c>
      <c r="D7" s="5">
        <v>3519</v>
      </c>
      <c r="E7" s="5">
        <v>62</v>
      </c>
      <c r="F7" s="5">
        <v>15</v>
      </c>
      <c r="G7" s="5">
        <v>18</v>
      </c>
      <c r="H7" s="8">
        <v>356.7</v>
      </c>
      <c r="I7" s="8">
        <v>121.7</v>
      </c>
      <c r="J7" s="8">
        <f>(H7*H7)/(2*I7)</f>
        <v>522.73989317995063</v>
      </c>
      <c r="K7" s="8">
        <f>(H7*F7+I7*F7*F7/2+J7)*E7</f>
        <v>1212998.3733771569</v>
      </c>
      <c r="L7" s="5">
        <v>1875.48</v>
      </c>
    </row>
    <row r="8" spans="2:12">
      <c r="B8" s="5"/>
      <c r="C8" s="17"/>
      <c r="D8" s="5"/>
      <c r="E8" s="5"/>
      <c r="F8" s="5"/>
      <c r="G8" s="5"/>
      <c r="H8" s="5"/>
      <c r="I8" s="5"/>
      <c r="J8" s="5"/>
      <c r="K8" s="8"/>
      <c r="L8" s="5"/>
    </row>
    <row r="9" spans="2:12">
      <c r="B9" s="5" t="s">
        <v>63</v>
      </c>
      <c r="C9" s="17" t="s">
        <v>99</v>
      </c>
      <c r="D9" s="5">
        <v>3950</v>
      </c>
      <c r="E9" s="5">
        <v>82</v>
      </c>
      <c r="F9" s="5">
        <v>3.38</v>
      </c>
      <c r="G9" s="5">
        <v>7</v>
      </c>
      <c r="H9" s="5">
        <v>249.8</v>
      </c>
      <c r="I9" s="5">
        <v>355.9</v>
      </c>
      <c r="J9" s="5">
        <v>97.1</v>
      </c>
      <c r="K9" s="8">
        <f>(H9*F9+I9*F9*F9/2+J9)*E9</f>
        <v>243900.47035999995</v>
      </c>
      <c r="L9" s="5">
        <v>1469.39</v>
      </c>
    </row>
    <row r="15" spans="2:12">
      <c r="D15" s="20" t="s">
        <v>16</v>
      </c>
      <c r="E15" s="20"/>
      <c r="F15" s="20" t="s">
        <v>11</v>
      </c>
      <c r="G15" s="20"/>
      <c r="H15" s="20" t="s">
        <v>1</v>
      </c>
      <c r="I15" s="20"/>
      <c r="J15" s="20" t="s">
        <v>20</v>
      </c>
      <c r="K15" s="20"/>
    </row>
    <row r="16" spans="2:12">
      <c r="D16" s="20" t="s">
        <v>91</v>
      </c>
      <c r="E16" s="20"/>
      <c r="F16" s="20" t="s">
        <v>91</v>
      </c>
      <c r="G16" s="20"/>
      <c r="H16" s="20" t="s">
        <v>91</v>
      </c>
      <c r="I16" s="20"/>
      <c r="J16" s="20" t="s">
        <v>91</v>
      </c>
      <c r="K16" s="20"/>
    </row>
    <row r="17" spans="2:11" s="6" customFormat="1">
      <c r="D17" s="6" t="s">
        <v>90</v>
      </c>
      <c r="E17" s="6" t="s">
        <v>95</v>
      </c>
      <c r="F17" s="6" t="s">
        <v>90</v>
      </c>
      <c r="G17" s="6" t="s">
        <v>95</v>
      </c>
      <c r="H17" s="6" t="s">
        <v>90</v>
      </c>
      <c r="I17" s="6" t="s">
        <v>95</v>
      </c>
      <c r="J17" s="6" t="s">
        <v>90</v>
      </c>
      <c r="K17" s="6" t="s">
        <v>95</v>
      </c>
    </row>
    <row r="18" spans="2:11" s="5" customFormat="1" ht="18.75">
      <c r="B18" s="5" t="str">
        <f>B7</f>
        <v>Bullet</v>
      </c>
      <c r="C18" s="5" t="str">
        <f t="shared" ref="C18:C20" si="0">C7</f>
        <v>2008 Lincoln MKz</v>
      </c>
      <c r="D18" s="8">
        <f>E18*528/360</f>
        <v>29.04</v>
      </c>
      <c r="E18" s="9">
        <f>1.1*G7</f>
        <v>19.8</v>
      </c>
      <c r="F18" s="8">
        <f>G18*528/360</f>
        <v>45.086583370222229</v>
      </c>
      <c r="G18" s="9">
        <f>SQRT(30*21*G7/12)</f>
        <v>30.740852297878796</v>
      </c>
      <c r="H18" s="10">
        <f>SQRT(2*L7*F7/(D7/32.2))</f>
        <v>22.690034091178081</v>
      </c>
      <c r="I18" s="9">
        <f>H18*360/528</f>
        <v>15.470477789439601</v>
      </c>
      <c r="J18" s="8">
        <f>K18*528/360</f>
        <v>43.010331164148155</v>
      </c>
      <c r="K18" s="9">
        <f>(360/528) * SQRT((((2*K7)/12)*32.2)/(D7))</f>
        <v>29.325225793737381</v>
      </c>
    </row>
    <row r="19" spans="2:11" s="5" customFormat="1">
      <c r="D19" s="8"/>
      <c r="E19" s="8"/>
      <c r="F19" s="8"/>
      <c r="G19" s="8"/>
      <c r="H19" s="8"/>
      <c r="I19" s="8"/>
      <c r="J19" s="8"/>
      <c r="K19" s="8"/>
    </row>
    <row r="20" spans="2:11" s="5" customFormat="1" ht="18.75">
      <c r="B20" s="5" t="str">
        <f t="shared" ref="B20" si="1">B9</f>
        <v>Target</v>
      </c>
      <c r="C20" s="5" t="str">
        <f t="shared" si="0"/>
        <v>2015 Dodge Charger</v>
      </c>
      <c r="D20" s="8">
        <f>E20*528/360</f>
        <v>11.293333333333335</v>
      </c>
      <c r="E20" s="9">
        <f>1.1*G9</f>
        <v>7.7000000000000011</v>
      </c>
      <c r="F20" s="8">
        <f>G20*528/360</f>
        <v>28.116424618598526</v>
      </c>
      <c r="G20" s="9">
        <f>SQRT(30*21*G9/12)</f>
        <v>19.170289512680814</v>
      </c>
      <c r="H20" s="10">
        <f>SQRT(2*L9*F9/(D9/32.2))</f>
        <v>8.9985239307147253</v>
      </c>
      <c r="I20" s="9">
        <f>H20*360/528</f>
        <v>6.1353572254873123</v>
      </c>
      <c r="J20" s="8">
        <f>K20*528/360</f>
        <v>18.203717274194808</v>
      </c>
      <c r="K20" s="9">
        <f>(360/528) * SQRT((((2*K9)/12)*32.2)/(D9))</f>
        <v>12.411625414223732</v>
      </c>
    </row>
    <row r="22" spans="2:11" ht="26.25">
      <c r="B22" t="s">
        <v>100</v>
      </c>
      <c r="E22" s="13">
        <f>(E18^2+E20^2)^0.5</f>
        <v>21.244528707410762</v>
      </c>
      <c r="G22" s="13">
        <f>(G18^2+G20^2)^0.5</f>
        <v>36.228441865473599</v>
      </c>
      <c r="I22" s="13">
        <f>(I18^2+I20^2)^0.5</f>
        <v>16.642664790167569</v>
      </c>
      <c r="K22" s="13">
        <f>(K18^2+K20^2)^0.5</f>
        <v>31.843638505621254</v>
      </c>
    </row>
    <row r="24" spans="2:11" ht="26.25">
      <c r="B24" t="s">
        <v>105</v>
      </c>
      <c r="E24" s="12" t="s">
        <v>118</v>
      </c>
      <c r="G24" s="12" t="str">
        <f>E24</f>
        <v>~48</v>
      </c>
      <c r="I24" s="12" t="str">
        <f>G24</f>
        <v>~48</v>
      </c>
      <c r="K24" s="12" t="str">
        <f>I24</f>
        <v>~48</v>
      </c>
    </row>
    <row r="25" spans="2:11">
      <c r="B25" t="s">
        <v>107</v>
      </c>
      <c r="E25" s="11" t="s">
        <v>114</v>
      </c>
      <c r="G25" s="14" t="str">
        <f>E25</f>
        <v>22-23</v>
      </c>
      <c r="H25" s="14"/>
      <c r="I25" s="14" t="str">
        <f>G25</f>
        <v>22-23</v>
      </c>
      <c r="J25" s="14"/>
      <c r="K25" s="14" t="str">
        <f>I25</f>
        <v>22-23</v>
      </c>
    </row>
    <row r="26" spans="2:11">
      <c r="B26" t="s">
        <v>106</v>
      </c>
      <c r="E26" s="4" t="s">
        <v>119</v>
      </c>
      <c r="G26" s="14" t="str">
        <f>E26</f>
        <v>~26-31</v>
      </c>
      <c r="H26" s="14"/>
      <c r="I26" s="14" t="str">
        <f>G26</f>
        <v>~26-31</v>
      </c>
      <c r="J26" s="14"/>
      <c r="K26" s="14" t="str">
        <f>I26</f>
        <v>~26-31</v>
      </c>
    </row>
    <row r="28" spans="2:11" ht="26.25">
      <c r="B28" t="s">
        <v>117</v>
      </c>
      <c r="E28" s="13">
        <f>SQRT(E22^2+26^2+28.8^2)</f>
        <v>44.235393069351154</v>
      </c>
      <c r="G28" s="13">
        <f>SQRT(G22^2+26^2+28.8^2)</f>
        <v>53.084272623819579</v>
      </c>
      <c r="I28" s="13">
        <f>SQRT(I22^2+26^2+28.8^2)</f>
        <v>42.218695992627289</v>
      </c>
      <c r="K28" s="13">
        <f>SQRT(K22^2+26^2+28.8^2)</f>
        <v>50.194196011856633</v>
      </c>
    </row>
  </sheetData>
  <mergeCells count="8">
    <mergeCell ref="D15:E15"/>
    <mergeCell ref="F15:G15"/>
    <mergeCell ref="H15:I15"/>
    <mergeCell ref="J15:K15"/>
    <mergeCell ref="D16:E16"/>
    <mergeCell ref="F16:G16"/>
    <mergeCell ref="H16:I16"/>
    <mergeCell ref="J16:K16"/>
  </mergeCells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"/>
  <sheetViews>
    <sheetView workbookViewId="0">
      <selection activeCell="L29" sqref="B1:L29"/>
    </sheetView>
  </sheetViews>
  <sheetFormatPr defaultRowHeight="15"/>
  <cols>
    <col min="3" max="3" width="18.7109375" bestFit="1" customWidth="1"/>
    <col min="4" max="4" width="9.140625" style="4"/>
    <col min="5" max="5" width="12.5703125" style="4" bestFit="1" customWidth="1"/>
    <col min="6" max="6" width="9.140625" style="4"/>
    <col min="7" max="7" width="12.5703125" style="4" bestFit="1" customWidth="1"/>
    <col min="8" max="8" width="9.5703125" style="4" bestFit="1" customWidth="1"/>
    <col min="9" max="9" width="12.5703125" style="4" bestFit="1" customWidth="1"/>
    <col min="10" max="10" width="9.140625" style="4"/>
    <col min="11" max="11" width="12.5703125" style="4" bestFit="1" customWidth="1"/>
    <col min="12" max="19" width="9.140625" style="4"/>
    <col min="20" max="20" width="9.5703125" style="4" bestFit="1" customWidth="1"/>
    <col min="21" max="21" width="9.140625" style="4"/>
    <col min="23" max="23" width="18.7109375" style="15" bestFit="1" customWidth="1"/>
  </cols>
  <sheetData>
    <row r="1" spans="1:12" ht="26.25">
      <c r="B1" s="18" t="s">
        <v>96</v>
      </c>
    </row>
    <row r="2" spans="1:12" ht="26.25">
      <c r="B2" s="18" t="s">
        <v>108</v>
      </c>
    </row>
    <row r="5" spans="1:12">
      <c r="C5" s="15"/>
      <c r="K5" s="4" t="s">
        <v>20</v>
      </c>
      <c r="L5" s="4" t="s">
        <v>123</v>
      </c>
    </row>
    <row r="6" spans="1:12" ht="30">
      <c r="B6" s="6"/>
      <c r="C6" s="16"/>
      <c r="D6" s="6" t="s">
        <v>64</v>
      </c>
      <c r="E6" s="6" t="s">
        <v>34</v>
      </c>
      <c r="F6" s="6" t="s">
        <v>88</v>
      </c>
      <c r="G6" s="6" t="s">
        <v>89</v>
      </c>
      <c r="H6" s="6" t="s">
        <v>92</v>
      </c>
      <c r="I6" s="6" t="s">
        <v>30</v>
      </c>
      <c r="J6" s="6" t="s">
        <v>31</v>
      </c>
      <c r="K6" s="6" t="s">
        <v>93</v>
      </c>
      <c r="L6" s="6" t="s">
        <v>94</v>
      </c>
    </row>
    <row r="7" spans="1:12">
      <c r="B7" s="5" t="s">
        <v>62</v>
      </c>
      <c r="C7" s="17" t="s">
        <v>110</v>
      </c>
      <c r="D7" s="5">
        <v>2626</v>
      </c>
      <c r="E7" s="5">
        <v>59</v>
      </c>
      <c r="F7" s="5">
        <v>18.399999999999999</v>
      </c>
      <c r="G7" s="5">
        <v>21</v>
      </c>
      <c r="H7" s="8">
        <v>287.10000000000002</v>
      </c>
      <c r="I7" s="8">
        <v>89.3</v>
      </c>
      <c r="J7" s="8">
        <f>(H7*H7)/(2*I7)</f>
        <v>461.5140537513999</v>
      </c>
      <c r="K7" s="8">
        <f>(H7*F7+I7*F7*F7/2+J7)*E7</f>
        <v>1230790.6251713326</v>
      </c>
      <c r="L7" s="5">
        <v>1577.77</v>
      </c>
    </row>
    <row r="8" spans="1:12">
      <c r="B8" s="5"/>
      <c r="C8" s="17"/>
      <c r="D8" s="5"/>
      <c r="E8" s="5"/>
      <c r="F8" s="5"/>
      <c r="G8" s="5"/>
      <c r="H8" s="5"/>
      <c r="I8" s="5"/>
      <c r="J8" s="5"/>
      <c r="K8" s="8"/>
      <c r="L8" s="5"/>
    </row>
    <row r="9" spans="1:12">
      <c r="B9" s="5" t="s">
        <v>63</v>
      </c>
      <c r="C9" s="17" t="s">
        <v>111</v>
      </c>
      <c r="D9" s="5">
        <v>3950</v>
      </c>
      <c r="E9" s="5">
        <v>92</v>
      </c>
      <c r="F9" s="5">
        <v>2.72</v>
      </c>
      <c r="G9" s="5">
        <v>6</v>
      </c>
      <c r="H9" s="5">
        <v>249.8</v>
      </c>
      <c r="I9" s="5">
        <v>355.9</v>
      </c>
      <c r="J9" s="5">
        <v>97.1</v>
      </c>
      <c r="K9" s="8">
        <f>(H9*F9+I9*F9*F9/2+J9)*E9</f>
        <v>192565.31776000003</v>
      </c>
      <c r="L9" s="5">
        <v>1469.39</v>
      </c>
    </row>
    <row r="10" spans="1:12">
      <c r="A10" s="4"/>
      <c r="B10" s="4"/>
      <c r="C10" s="4"/>
      <c r="J10"/>
      <c r="K10" s="15"/>
    </row>
    <row r="16" spans="1:12">
      <c r="D16" s="20" t="s">
        <v>16</v>
      </c>
      <c r="E16" s="20"/>
      <c r="F16" s="20" t="s">
        <v>11</v>
      </c>
      <c r="G16" s="20"/>
      <c r="H16" s="20" t="s">
        <v>1</v>
      </c>
      <c r="I16" s="20"/>
      <c r="J16" s="20" t="s">
        <v>20</v>
      </c>
      <c r="K16" s="20"/>
    </row>
    <row r="17" spans="2:11">
      <c r="D17" s="20" t="s">
        <v>91</v>
      </c>
      <c r="E17" s="20"/>
      <c r="F17" s="20" t="s">
        <v>91</v>
      </c>
      <c r="G17" s="20"/>
      <c r="H17" s="20" t="s">
        <v>91</v>
      </c>
      <c r="I17" s="20"/>
      <c r="J17" s="20" t="s">
        <v>91</v>
      </c>
      <c r="K17" s="20"/>
    </row>
    <row r="18" spans="2:11" s="6" customFormat="1">
      <c r="D18" s="6" t="s">
        <v>90</v>
      </c>
      <c r="E18" s="6" t="s">
        <v>95</v>
      </c>
      <c r="F18" s="6" t="s">
        <v>90</v>
      </c>
      <c r="G18" s="6" t="s">
        <v>95</v>
      </c>
      <c r="H18" s="6" t="s">
        <v>90</v>
      </c>
      <c r="I18" s="6" t="s">
        <v>95</v>
      </c>
      <c r="J18" s="6" t="s">
        <v>90</v>
      </c>
      <c r="K18" s="6" t="s">
        <v>95</v>
      </c>
    </row>
    <row r="19" spans="2:11" s="5" customFormat="1" ht="18.75">
      <c r="B19" s="5" t="str">
        <f>B7</f>
        <v>Bullet</v>
      </c>
      <c r="C19" s="5" t="str">
        <f t="shared" ref="C19:C21" si="0">C7</f>
        <v>1996 Mazda 626</v>
      </c>
      <c r="D19" s="8">
        <f>E19*528/360</f>
        <v>33.880000000000003</v>
      </c>
      <c r="E19" s="9">
        <f>1.1*G7</f>
        <v>23.1</v>
      </c>
      <c r="F19" s="8">
        <f>G19*528/360</f>
        <v>48.699075966593036</v>
      </c>
      <c r="G19" s="9">
        <f>SQRT(30*21*G7/12)</f>
        <v>33.203915431767982</v>
      </c>
      <c r="H19" s="10">
        <f>SQRT(2*L7*F7/(D7/32.2))</f>
        <v>26.68248852538089</v>
      </c>
      <c r="I19" s="9">
        <f>H19*360/528</f>
        <v>18.192605812759698</v>
      </c>
      <c r="J19" s="8">
        <f>K19*528/360</f>
        <v>50.153014235640342</v>
      </c>
      <c r="K19" s="9">
        <f>(360/528) * SQRT((((2*K7)/12)*32.2)/(D7))</f>
        <v>34.195236978845685</v>
      </c>
    </row>
    <row r="20" spans="2:11" s="5" customFormat="1">
      <c r="D20" s="8"/>
      <c r="E20" s="8"/>
      <c r="F20" s="8"/>
      <c r="G20" s="8"/>
      <c r="H20" s="8"/>
      <c r="I20" s="8"/>
      <c r="J20" s="8"/>
      <c r="K20" s="8"/>
    </row>
    <row r="21" spans="2:11" s="5" customFormat="1" ht="18.75">
      <c r="B21" s="5" t="str">
        <f t="shared" ref="B21" si="1">B9</f>
        <v>Target</v>
      </c>
      <c r="C21" s="5" t="str">
        <f t="shared" si="0"/>
        <v>2016 Dodge Charger</v>
      </c>
      <c r="D21" s="8">
        <f>E21*528/360</f>
        <v>9.68</v>
      </c>
      <c r="E21" s="9">
        <f>1.1*G9</f>
        <v>6.6000000000000005</v>
      </c>
      <c r="F21" s="8">
        <f>G21*528/360</f>
        <v>26.030751045638311</v>
      </c>
      <c r="G21" s="9">
        <f>SQRT(30*21*G9/12)</f>
        <v>17.748239349298849</v>
      </c>
      <c r="H21" s="10">
        <f>SQRT(2*L9*F9/(D9/32.2))</f>
        <v>8.0723015637864322</v>
      </c>
      <c r="I21" s="9">
        <f>H21*360/528</f>
        <v>5.5038419753089309</v>
      </c>
      <c r="J21" s="8">
        <f>K21*528/360</f>
        <v>16.174944462007577</v>
      </c>
      <c r="K21" s="9">
        <f>(360/528) * SQRT((((2*K9)/12)*32.2)/(D9))</f>
        <v>11.028371224096075</v>
      </c>
    </row>
    <row r="23" spans="2:11" ht="26.25">
      <c r="B23" t="s">
        <v>116</v>
      </c>
      <c r="E23" s="13">
        <f>(E19^2+E21^2)^0.5</f>
        <v>24.02436263462571</v>
      </c>
      <c r="G23" s="13">
        <f>(G19^2+G21^2)^0.5</f>
        <v>37.649701194033398</v>
      </c>
      <c r="I23" s="13">
        <f>(I19^2+I21^2)^0.5</f>
        <v>19.006924599935427</v>
      </c>
      <c r="K23" s="13">
        <f>(K19^2+K21^2)^0.5</f>
        <v>35.929642412580257</v>
      </c>
    </row>
    <row r="25" spans="2:11" ht="26.25">
      <c r="B25" t="s">
        <v>105</v>
      </c>
      <c r="E25" s="12" t="s">
        <v>122</v>
      </c>
      <c r="G25" s="12" t="str">
        <f>E25</f>
        <v>~50-51</v>
      </c>
      <c r="I25" s="12" t="str">
        <f>G25</f>
        <v>~50-51</v>
      </c>
      <c r="K25" s="12" t="str">
        <f>I25</f>
        <v>~50-51</v>
      </c>
    </row>
    <row r="26" spans="2:11">
      <c r="B26" t="s">
        <v>107</v>
      </c>
      <c r="E26" s="4" t="s">
        <v>120</v>
      </c>
      <c r="G26" s="14" t="str">
        <f>E26</f>
        <v>~37-38</v>
      </c>
      <c r="H26" s="14"/>
      <c r="I26" s="14" t="str">
        <f>G26</f>
        <v>~37-38</v>
      </c>
      <c r="J26" s="14"/>
      <c r="K26" s="14" t="str">
        <f>I26</f>
        <v>~37-38</v>
      </c>
    </row>
    <row r="27" spans="2:11">
      <c r="B27" t="s">
        <v>106</v>
      </c>
      <c r="E27" s="4" t="s">
        <v>121</v>
      </c>
      <c r="G27" s="14" t="str">
        <f>E27</f>
        <v>~22-23</v>
      </c>
      <c r="H27" s="14"/>
      <c r="I27" s="14" t="str">
        <f>G27</f>
        <v>~22-23</v>
      </c>
      <c r="J27" s="14"/>
      <c r="K27" s="14" t="str">
        <f>I27</f>
        <v>~22-23</v>
      </c>
    </row>
    <row r="29" spans="2:11" ht="26.25">
      <c r="B29" t="s">
        <v>117</v>
      </c>
      <c r="E29" s="13">
        <f>SQRT(E23^2+22.2^2+(50.2-37.3)^2)</f>
        <v>35.16276439644642</v>
      </c>
      <c r="G29" s="13">
        <f>SQRT(G23^2+22.2^2+(50.2-37.3)^2)</f>
        <v>45.571372592889936</v>
      </c>
      <c r="I29" s="13">
        <f>SQRT(I23^2+22.2^2+(50.2-37.3)^2)</f>
        <v>31.945472022614261</v>
      </c>
      <c r="K29" s="13">
        <f>SQRT(K23^2+22.2^2+(50.2-37.3)^2)</f>
        <v>44.160946591936707</v>
      </c>
    </row>
  </sheetData>
  <mergeCells count="8">
    <mergeCell ref="D16:E16"/>
    <mergeCell ref="F16:G16"/>
    <mergeCell ref="H16:I16"/>
    <mergeCell ref="J16:K16"/>
    <mergeCell ref="D17:E17"/>
    <mergeCell ref="F17:G17"/>
    <mergeCell ref="H17:I17"/>
    <mergeCell ref="J17:K1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Formulas</vt:lpstr>
      <vt:lpstr>SCARS CT1</vt:lpstr>
      <vt:lpstr>SCARS CT2</vt:lpstr>
      <vt:lpstr>SCARS CT3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2022-09-18T06:18:26Z</dcterms:modified>
</cp:coreProperties>
</file>